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xGV71+qWEVHwv5AfPEceKn/kIf3o1f4E+5g43NK8TlVohuaAmB2ew0F5ffGPH7lL5Oq+tRv6RkeMI1fNgwJfqw==" workbookSaltValue="OXrmXbnt51J+IO/bsC+V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C14" i="7"/>
  <c r="T31" i="8"/>
  <c r="U13" i="16"/>
  <c r="P13" i="14"/>
  <c r="R13" i="14" s="1"/>
  <c r="R13" i="17"/>
  <c r="R8" i="9"/>
  <c r="S10" i="14" s="1"/>
  <c r="V10" i="14" s="1"/>
  <c r="I13" i="14"/>
  <c r="S28" i="14"/>
  <c r="V2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H26" i="16"/>
  <c r="BF23" i="13"/>
  <c r="AM17" i="11"/>
  <c r="AQ26" i="21"/>
  <c r="AO26" i="17"/>
  <c r="X12" i="16"/>
  <c r="L29" i="2"/>
  <c r="L21" i="2"/>
  <c r="L13" i="2"/>
  <c r="AZ28" i="11"/>
  <c r="AZ20" i="11"/>
  <c r="V21" i="16"/>
  <c r="U10" i="21"/>
  <c r="AA9" i="16"/>
  <c r="AA20" i="16"/>
  <c r="X21" i="17"/>
  <c r="AA10" i="16"/>
  <c r="T17" i="11"/>
  <c r="V13" i="16"/>
  <c r="V16" i="20"/>
  <c r="V23" i="20" s="1"/>
  <c r="V19" i="16"/>
  <c r="AA12" i="21"/>
  <c r="X19" i="20"/>
  <c r="T18" i="20"/>
  <c r="X9" i="17"/>
  <c r="AA18" i="16"/>
  <c r="X13" i="17"/>
  <c r="AA17" i="16"/>
  <c r="AA28" i="16"/>
  <c r="T18" i="11"/>
  <c r="S16" i="14"/>
  <c r="V16" i="14" s="1"/>
  <c r="T11" i="11"/>
  <c r="T25" i="11"/>
  <c r="T13" i="11"/>
  <c r="R19" i="14"/>
  <c r="R12" i="14"/>
  <c r="S29" i="14"/>
  <c r="V29" i="14" s="1"/>
  <c r="S19" i="14"/>
  <c r="V19" i="14" s="1"/>
  <c r="T22" i="11"/>
  <c r="T12" i="1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R10" i="21"/>
  <c r="BL13" i="11"/>
  <c r="P13" i="11" s="1"/>
  <c r="BJ25" i="11"/>
  <c r="AZ16" i="11"/>
  <c r="AZ23" i="11" s="1"/>
  <c r="AZ26" i="11" s="1"/>
  <c r="BU10" i="17"/>
  <c r="BU20" i="17"/>
  <c r="BV29" i="16"/>
  <c r="S25" i="17"/>
  <c r="P16" i="17"/>
  <c r="BH25" i="16"/>
  <c r="L17"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V14" i="21" s="1"/>
  <c r="V31" i="21" s="1"/>
  <c r="BK11" i="11"/>
  <c r="AZ18" i="11"/>
  <c r="AP10" i="21"/>
  <c r="AP21" i="20"/>
  <c r="BH20" i="16"/>
  <c r="BH22" i="16"/>
  <c r="BJ20" i="11"/>
  <c r="BG16" i="11"/>
  <c r="BH13" i="11"/>
  <c r="BH18" i="11"/>
  <c r="BH23" i="11" s="1"/>
  <c r="BM16" i="11"/>
  <c r="AO28" i="17"/>
  <c r="BU16" i="17"/>
  <c r="BW19" i="20"/>
  <c r="BW33" i="20" s="1"/>
  <c r="X20" i="16"/>
  <c r="BW25" i="20"/>
  <c r="BU22" i="17"/>
  <c r="U13" i="17"/>
  <c r="BW29" i="20"/>
  <c r="BW22" i="20"/>
  <c r="S11" i="17"/>
  <c r="BU17" i="17"/>
  <c r="BV20" i="16"/>
  <c r="S22" i="17"/>
  <c r="BF20" i="11"/>
  <c r="AZ11" i="11"/>
  <c r="S16" i="16"/>
  <c r="S23" i="16" s="1"/>
  <c r="BL20" i="11"/>
  <c r="BF12" i="11"/>
  <c r="BL16" i="11"/>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8" i="2"/>
  <c r="X16" i="16"/>
  <c r="X23" i="16" s="1"/>
  <c r="AA11" i="16"/>
  <c r="L9" i="2"/>
  <c r="V25" i="16"/>
  <c r="T28" i="11"/>
  <c r="T19" i="11"/>
  <c r="R28" i="14"/>
  <c r="R18"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S14" i="14"/>
  <c r="BI23" i="11"/>
  <c r="AQ17" i="11"/>
  <c r="P25" i="11"/>
  <c r="BJ23" i="11"/>
  <c r="P23" i="17"/>
  <c r="P31" i="17" s="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<sst xmlns="http://schemas.openxmlformats.org/spreadsheetml/2006/main" count="2682" uniqueCount="1193">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</sst>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inWAU3YkmTj9mOn56v7DPS0M7UI4txi7xjc0oYIdPUsdXm+BxveNyfeH1oepAVcLgmWFusy1bb7WGL+s3UpKQ==" saltValue="FMxysQU3hABERUtRTt3w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73.75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824</v>
      </c>
      <c r="D17" s="239">
        <f>IF(ISNUMBER(IF(D_I="SI",Datos!I17,Datos!I17+Datos!AC17)),IF(D_I="SI",Datos!I17,Datos!I17+Datos!AC17)," - ")</f>
        <v>824</v>
      </c>
      <c r="E17" s="240">
        <f>IF(ISNUMBER(IF(D_I="SI",Datos!J17,Datos!J17+Datos!AD17)),IF(D_I="SI",Datos!J17,Datos!J17+Datos!AD17)," - ")</f>
        <v>394</v>
      </c>
      <c r="F17" s="240">
        <f>IF(ISNUMBER(IF(D_I="SI",Datos!K17,Datos!K17+Datos!AE17)),IF(D_I="SI",Datos!K17,Datos!K17+Datos!AE17)," - ")</f>
        <v>393</v>
      </c>
      <c r="G17" s="1390" t="str">
        <f>IF(Datos!E17&lt;&gt;"",Datos!E17,Datos!D17)</f>
        <v>04</v>
      </c>
      <c r="H17" s="241">
        <f>IF(ISNUMBER(IF(D_I="SI",Datos!L17,Datos!L17+Datos!AF17)),IF(D_I="SI",Datos!L17,Datos!L17+Datos!AF17)," - ")</f>
        <v>825</v>
      </c>
      <c r="I17" s="1400" t="str">
        <f>IF(ISNUMBER(Datos!AS17/Datos!BM17),Datos!AS17/Datos!BM17," - ")</f>
        <v xml:space="preserve"> - </v>
      </c>
      <c r="J17" s="1401">
        <f>IF(ISNUMBER(Datos!BY17/Datos!CN17),Datos!BY17/Datos!CN17," - ")</f>
        <v>0</v>
      </c>
      <c r="K17" s="244">
        <f t="shared" si="3"/>
        <v>1.2135922330097086E-3</v>
      </c>
      <c r="L17" s="1402">
        <f>IF(ISNUMBER(NºAsuntos!I17/NºAsuntos!G17),(NºAsuntos!I17/NºAsuntos!G17)*11," - ")</f>
        <v>23.091603053435115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136</v>
      </c>
      <c r="D18" s="239">
        <f>IF(ISNUMBER(IF(D_I="SI",Datos!I18,Datos!I18+Datos!AC18)),IF(D_I="SI",Datos!I18,Datos!I18+Datos!AC18)," - ")</f>
        <v>136</v>
      </c>
      <c r="E18" s="240">
        <f>IF(ISNUMBER(IF(D_I="SI",Datos!J18,Datos!J18+Datos!AD18)),IF(D_I="SI",Datos!J18,Datos!J18+Datos!AD18)," - ")</f>
        <v>43</v>
      </c>
      <c r="F18" s="240">
        <f>IF(ISNUMBER(IF(D_I="SI",Datos!K18,Datos!K18+Datos!AE18)),IF(D_I="SI",Datos!K18,Datos!K18+Datos!AE18)," - ")</f>
        <v>18</v>
      </c>
      <c r="G18" s="1390" t="str">
        <f>IF(Datos!E18&lt;&gt;"",Datos!E18,Datos!D18)</f>
        <v>37</v>
      </c>
      <c r="H18" s="241">
        <f>IF(ISNUMBER(IF(D_I="SI",Datos!L18,Datos!L18+Datos!AF18)),IF(D_I="SI",Datos!L18,Datos!L18+Datos!AF18)," - ")</f>
        <v>161</v>
      </c>
      <c r="I18" s="1400" t="str">
        <f>IF(ISNUMBER(Datos!AS18/Datos!BM18),Datos!AS18/Datos!BM18," - ")</f>
        <v xml:space="preserve"> - </v>
      </c>
      <c r="J18" s="1401" t="str">
        <f>IF(ISNUMBER((Datos!BY18+Datos!BZ18)/Datos!CN18),(Datos!BY18+Datos!BZ18)/Datos!CN18," - ")</f>
        <v xml:space="preserve"> - </v>
      </c>
      <c r="K18" s="244">
        <f t="shared" si="3"/>
        <v>0.18382352941176472</v>
      </c>
      <c r="L18" s="1402">
        <f>IF(ISNUMBER(NºAsuntos!I18/NºAsuntos!G18),(NºAsuntos!I18/NºAsuntos!G18)*11," - ")</f>
        <v>98.388888888888886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960</v>
      </c>
      <c r="D23" s="1407">
        <f>SUBTOTAL(9,D16:D22)</f>
        <v>960</v>
      </c>
      <c r="E23" s="1408">
        <f>SUBTOTAL(9,E16:E22)</f>
        <v>437</v>
      </c>
      <c r="F23" s="1408">
        <f>SUBTOTAL(9,F16:F22)</f>
        <v>411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966</v>
      </c>
      <c r="D31" s="1435">
        <f>SUBTOTAL(9,D9:D30)</f>
        <v>966</v>
      </c>
      <c r="E31" s="1436">
        <f>SUBTOTAL(9,E9:E30)</f>
        <v>438</v>
      </c>
      <c r="F31" s="1436">
        <f>SUBTOTAL(9,F9:F30)</f>
        <v>411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XOFobUyxvWeKEfV85znFuWvP9jIrD5CFH0DhZk5N8Bg1eFqBhZKrjfUt2HNStv6ntfds9LDwF39C7A2JQDqLg==" saltValue="8om1odq36u4vcI59YgGy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JBKAAViWGzIVxnNtGE4ObEiE/RBuymD3rl5EqmrKqEOyCR1Yp6CjCjti50inyYLh2MnvsPKyCMIjCjwg76mA==" saltValue="jMKwARHXiDicl+CANfi6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0</v>
      </c>
      <c r="L10" s="194">
        <v>7</v>
      </c>
      <c r="M10" s="194">
        <v>0</v>
      </c>
      <c r="N10" s="194">
        <v>0</v>
      </c>
      <c r="O10" s="194">
        <v>0</v>
      </c>
      <c r="P10" s="194">
        <v>0</v>
      </c>
      <c r="Q10" s="194">
        <v>0</v>
      </c>
      <c r="R10" s="194">
        <v>1</v>
      </c>
      <c r="S10" s="194">
        <v>13</v>
      </c>
      <c r="T10" s="194">
        <v>2</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2</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1032</v>
      </c>
      <c r="J12" s="196">
        <v>160</v>
      </c>
      <c r="K12" s="196">
        <v>211</v>
      </c>
      <c r="L12" s="196">
        <v>1428</v>
      </c>
      <c r="M12" s="196">
        <v>78</v>
      </c>
      <c r="N12" s="196">
        <v>64</v>
      </c>
      <c r="O12" s="194">
        <v>52</v>
      </c>
      <c r="P12" s="196">
        <v>44</v>
      </c>
      <c r="Q12" s="196">
        <v>20</v>
      </c>
      <c r="R12" s="196">
        <v>1722</v>
      </c>
      <c r="S12" s="196">
        <v>843</v>
      </c>
      <c r="T12" s="196">
        <v>401</v>
      </c>
      <c r="U12" s="196">
        <v>401</v>
      </c>
      <c r="V12" s="196">
        <v>856</v>
      </c>
      <c r="W12" s="196">
        <v>79</v>
      </c>
      <c r="X12" s="202">
        <v>156</v>
      </c>
      <c r="Y12" s="204">
        <v>38</v>
      </c>
      <c r="Z12" s="194">
        <v>4</v>
      </c>
      <c r="AA12" s="194">
        <v>9</v>
      </c>
      <c r="AB12" s="194">
        <v>47</v>
      </c>
      <c r="AC12" s="196">
        <v>0</v>
      </c>
      <c r="AD12" s="196">
        <v>0</v>
      </c>
      <c r="AE12" s="196">
        <v>0</v>
      </c>
      <c r="AF12" s="202">
        <v>0</v>
      </c>
      <c r="AG12" s="215">
        <v>32</v>
      </c>
      <c r="AH12" s="196">
        <v>34</v>
      </c>
      <c r="AI12" s="196">
        <v>23</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875</v>
      </c>
      <c r="AZ12" s="137">
        <f t="shared" si="1"/>
        <v>435</v>
      </c>
      <c r="BA12" s="137">
        <f t="shared" si="1"/>
        <v>424</v>
      </c>
      <c r="BB12" s="137">
        <f t="shared" si="1"/>
        <v>896</v>
      </c>
      <c r="BC12" s="135">
        <f>IF(ISNUMBER(X12),X12," - ")</f>
        <v>156</v>
      </c>
      <c r="BD12" s="136">
        <f t="shared" si="2"/>
        <v>0.97471264367816091</v>
      </c>
      <c r="BE12" s="137">
        <f t="shared" si="3"/>
        <v>2.1132075471698113</v>
      </c>
      <c r="BF12" s="137">
        <f t="shared" si="4"/>
        <v>0.36792452830188677</v>
      </c>
      <c r="BG12" s="209">
        <f t="shared" si="5"/>
        <v>3.0896226415094339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1038</v>
      </c>
      <c r="J14" s="197">
        <f t="shared" si="7"/>
        <v>161</v>
      </c>
      <c r="K14" s="197">
        <f t="shared" si="7"/>
        <v>211</v>
      </c>
      <c r="L14" s="197">
        <f t="shared" si="7"/>
        <v>1435</v>
      </c>
      <c r="M14" s="197">
        <f t="shared" si="7"/>
        <v>78</v>
      </c>
      <c r="N14" s="197">
        <f t="shared" si="7"/>
        <v>64</v>
      </c>
      <c r="O14" s="197">
        <f t="shared" si="7"/>
        <v>52</v>
      </c>
      <c r="P14" s="197">
        <f t="shared" si="7"/>
        <v>44</v>
      </c>
      <c r="Q14" s="197">
        <f t="shared" si="7"/>
        <v>20</v>
      </c>
      <c r="R14" s="197">
        <f t="shared" si="7"/>
        <v>1723</v>
      </c>
      <c r="S14" s="197">
        <f t="shared" si="7"/>
        <v>856</v>
      </c>
      <c r="T14" s="197">
        <f t="shared" si="7"/>
        <v>403</v>
      </c>
      <c r="U14" s="197">
        <f t="shared" si="7"/>
        <v>401</v>
      </c>
      <c r="V14" s="197">
        <f t="shared" si="7"/>
        <v>858</v>
      </c>
      <c r="W14" s="197">
        <f t="shared" si="7"/>
        <v>79</v>
      </c>
      <c r="X14" s="197">
        <f t="shared" si="7"/>
        <v>156</v>
      </c>
      <c r="Y14" s="197">
        <f t="shared" si="7"/>
        <v>38</v>
      </c>
      <c r="Z14" s="197">
        <f t="shared" si="7"/>
        <v>4</v>
      </c>
      <c r="AA14" s="197">
        <f t="shared" si="7"/>
        <v>9</v>
      </c>
      <c r="AB14" s="197">
        <f t="shared" si="7"/>
        <v>47</v>
      </c>
      <c r="AC14" s="197">
        <f t="shared" si="7"/>
        <v>0</v>
      </c>
      <c r="AD14" s="197">
        <f t="shared" si="7"/>
        <v>0</v>
      </c>
      <c r="AE14" s="197">
        <f t="shared" si="7"/>
        <v>0</v>
      </c>
      <c r="AF14" s="197">
        <f>SUBTOTAL(9,AF9:AF13)</f>
        <v>0</v>
      </c>
      <c r="AG14" s="197">
        <f t="shared" ref="AG14:AT14" si="8">SUBTOTAL(9,AG8:AG13)</f>
        <v>32</v>
      </c>
      <c r="AH14" s="197">
        <f t="shared" si="8"/>
        <v>34</v>
      </c>
      <c r="AI14" s="197">
        <f t="shared" si="8"/>
        <v>23</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888</v>
      </c>
      <c r="AZ14" s="197">
        <f>SUBTOTAL(9,AZ8:AZ13)</f>
        <v>437</v>
      </c>
      <c r="BA14" s="197">
        <f>SUBTOTAL(9,BA8:BA13)</f>
        <v>424</v>
      </c>
      <c r="BB14" s="197">
        <f>SUBTOTAL(9,BB8:BB13)</f>
        <v>898</v>
      </c>
      <c r="BC14" s="197">
        <f>SUBTOTAL(9,BC8:BC13)</f>
        <v>156</v>
      </c>
      <c r="BD14" s="219">
        <f>IF(ISNUMBER(BA14/AZ14),BA14/AZ14," - ")</f>
        <v>0.97025171624713957</v>
      </c>
      <c r="BE14" s="220">
        <f>IF(ISNUMBER(BB14/BA14),BB14/BA14, " - ")</f>
        <v>2.1179245283018866</v>
      </c>
      <c r="BF14" s="220">
        <f>IF(ISNUMBER(BC14/BA14),BC14/BA14, " - ")</f>
        <v>0.36792452830188677</v>
      </c>
      <c r="BG14" s="221">
        <f>IF(ISNUMBER((AY14+AZ14)/BA14),(AY14+AZ14)/BA14," - ")</f>
        <v>3.125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824</v>
      </c>
      <c r="J17" s="196">
        <v>394</v>
      </c>
      <c r="K17" s="196">
        <v>393</v>
      </c>
      <c r="L17" s="196">
        <v>825</v>
      </c>
      <c r="M17" s="196">
        <v>54</v>
      </c>
      <c r="N17" s="196">
        <v>170</v>
      </c>
      <c r="O17" s="194">
        <v>0</v>
      </c>
      <c r="P17" s="196">
        <v>4</v>
      </c>
      <c r="Q17" s="196">
        <v>0</v>
      </c>
      <c r="R17" s="196">
        <v>64</v>
      </c>
      <c r="S17" s="196">
        <v>511</v>
      </c>
      <c r="T17" s="196">
        <v>407</v>
      </c>
      <c r="U17" s="196">
        <v>346</v>
      </c>
      <c r="V17" s="196">
        <v>459</v>
      </c>
      <c r="W17" s="196">
        <v>40</v>
      </c>
      <c r="X17" s="202">
        <v>204</v>
      </c>
      <c r="Y17" s="215">
        <v>0</v>
      </c>
      <c r="Z17" s="196">
        <v>0</v>
      </c>
      <c r="AA17" s="196">
        <v>0</v>
      </c>
      <c r="AB17" s="196">
        <v>0</v>
      </c>
      <c r="AC17" s="196">
        <v>2</v>
      </c>
      <c r="AD17" s="196">
        <v>2</v>
      </c>
      <c r="AE17" s="196">
        <v>2</v>
      </c>
      <c r="AF17" s="202">
        <v>2</v>
      </c>
      <c r="AG17" s="215">
        <v>0</v>
      </c>
      <c r="AH17" s="196">
        <v>0</v>
      </c>
      <c r="AI17" s="196">
        <v>0</v>
      </c>
      <c r="AJ17" s="216">
        <v>0</v>
      </c>
      <c r="AK17" s="195">
        <v>3</v>
      </c>
      <c r="AL17" s="196">
        <v>19</v>
      </c>
      <c r="AM17" s="196">
        <v>22</v>
      </c>
      <c r="AN17" s="202">
        <v>0</v>
      </c>
      <c r="AO17" s="283">
        <v>2</v>
      </c>
      <c r="AP17" s="168">
        <v>2</v>
      </c>
      <c r="AQ17" s="168">
        <v>2</v>
      </c>
      <c r="AR17" s="168">
        <v>2</v>
      </c>
      <c r="AS17" s="381" t="s">
        <v>650</v>
      </c>
      <c r="AT17" s="216"/>
      <c r="AU17" s="215"/>
      <c r="AV17" s="216"/>
      <c r="AW17" s="215"/>
      <c r="AX17" s="216"/>
      <c r="AY17" s="136">
        <f t="shared" si="10"/>
        <v>511</v>
      </c>
      <c r="AZ17" s="137">
        <f t="shared" si="10"/>
        <v>407</v>
      </c>
      <c r="BA17" s="137">
        <f t="shared" si="10"/>
        <v>346</v>
      </c>
      <c r="BB17" s="137">
        <f t="shared" si="10"/>
        <v>459</v>
      </c>
      <c r="BC17" s="135">
        <f>IF(ISNUMBER(W17),W17," - ")</f>
        <v>40</v>
      </c>
      <c r="BD17" s="136">
        <f t="shared" ref="BD17:BD22" si="12">IF(ISNUMBER(BA17/AZ17),BA17/AZ17," - ")</f>
        <v>0.85012285012285016</v>
      </c>
      <c r="BE17" s="137">
        <f t="shared" ref="BE17:BE22" si="13">IF(ISNUMBER(BB17/BA17),BB17/BA17, " - ")</f>
        <v>1.3265895953757225</v>
      </c>
      <c r="BF17" s="137">
        <f t="shared" ref="BF17:BF22" si="14">IF(ISNUMBER(BC17/BA17),BC17/BA17, " - ")</f>
        <v>0.11560693641618497</v>
      </c>
      <c r="BG17" s="209">
        <f t="shared" si="11"/>
        <v>2.653179190751445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136</v>
      </c>
      <c r="J18" s="196">
        <v>43</v>
      </c>
      <c r="K18" s="196">
        <v>18</v>
      </c>
      <c r="L18" s="196">
        <v>161</v>
      </c>
      <c r="M18" s="196">
        <v>1</v>
      </c>
      <c r="N18" s="196">
        <v>18</v>
      </c>
      <c r="O18" s="196">
        <v>0</v>
      </c>
      <c r="P18" s="196">
        <v>0</v>
      </c>
      <c r="Q18" s="196">
        <v>0</v>
      </c>
      <c r="R18" s="196">
        <v>0</v>
      </c>
      <c r="S18" s="196">
        <v>101</v>
      </c>
      <c r="T18" s="196">
        <v>42</v>
      </c>
      <c r="U18" s="196">
        <v>44</v>
      </c>
      <c r="V18" s="196">
        <v>87</v>
      </c>
      <c r="W18" s="196">
        <v>0</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101</v>
      </c>
      <c r="AZ18" s="139">
        <f t="shared" si="15"/>
        <v>42</v>
      </c>
      <c r="BA18" s="139">
        <f t="shared" si="15"/>
        <v>44</v>
      </c>
      <c r="BB18" s="139">
        <f t="shared" si="15"/>
        <v>87</v>
      </c>
      <c r="BC18" s="135">
        <f>IF(ISNUMBER(W18),W18," - ")</f>
        <v>0</v>
      </c>
      <c r="BD18" s="136">
        <f>IF(ISNUMBER(BA18/AZ18),BA18/AZ18," - ")</f>
        <v>1.0476190476190477</v>
      </c>
      <c r="BE18" s="137">
        <f>IF(ISNUMBER(BB18/BA18),BB18/BA18, " - ")</f>
        <v>1.9772727272727273</v>
      </c>
      <c r="BF18" s="137">
        <f>IF(ISNUMBER(BC18/BA18),BC18/BA18, " - ")</f>
        <v>0</v>
      </c>
      <c r="BG18" s="209">
        <f>IF(ISNUMBER((AY18+AZ18)/BA18),(AY18+AZ18)/BA18," - ")</f>
        <v>3.25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960</v>
      </c>
      <c r="J23" s="197">
        <f t="shared" si="21"/>
        <v>437</v>
      </c>
      <c r="K23" s="197">
        <f t="shared" si="21"/>
        <v>411</v>
      </c>
      <c r="L23" s="197">
        <f t="shared" si="21"/>
        <v>986</v>
      </c>
      <c r="M23" s="197">
        <f t="shared" si="21"/>
        <v>55</v>
      </c>
      <c r="N23" s="197">
        <f t="shared" si="21"/>
        <v>188</v>
      </c>
      <c r="O23" s="197">
        <f t="shared" si="21"/>
        <v>0</v>
      </c>
      <c r="P23" s="197">
        <f t="shared" si="21"/>
        <v>4</v>
      </c>
      <c r="Q23" s="197">
        <f t="shared" si="21"/>
        <v>0</v>
      </c>
      <c r="R23" s="197">
        <f t="shared" si="21"/>
        <v>64</v>
      </c>
      <c r="S23" s="197">
        <f t="shared" si="21"/>
        <v>612</v>
      </c>
      <c r="T23" s="197">
        <f t="shared" si="21"/>
        <v>449</v>
      </c>
      <c r="U23" s="197">
        <f t="shared" si="21"/>
        <v>390</v>
      </c>
      <c r="V23" s="197">
        <f t="shared" si="21"/>
        <v>546</v>
      </c>
      <c r="W23" s="197">
        <f t="shared" si="21"/>
        <v>40</v>
      </c>
      <c r="X23" s="197">
        <f t="shared" si="21"/>
        <v>224</v>
      </c>
      <c r="Y23" s="197">
        <f t="shared" si="21"/>
        <v>0</v>
      </c>
      <c r="Z23" s="197">
        <f t="shared" si="21"/>
        <v>0</v>
      </c>
      <c r="AA23" s="197">
        <f t="shared" si="21"/>
        <v>0</v>
      </c>
      <c r="AB23" s="197">
        <f t="shared" si="21"/>
        <v>0</v>
      </c>
      <c r="AC23" s="197">
        <f t="shared" si="21"/>
        <v>2</v>
      </c>
      <c r="AD23" s="197">
        <f t="shared" si="21"/>
        <v>2</v>
      </c>
      <c r="AE23" s="197">
        <f t="shared" si="21"/>
        <v>2</v>
      </c>
      <c r="AF23" s="197">
        <f t="shared" si="21"/>
        <v>2</v>
      </c>
      <c r="AG23" s="197">
        <f t="shared" si="21"/>
        <v>0</v>
      </c>
      <c r="AH23" s="197">
        <f t="shared" si="21"/>
        <v>0</v>
      </c>
      <c r="AI23" s="197">
        <f t="shared" si="21"/>
        <v>0</v>
      </c>
      <c r="AJ23" s="197">
        <f t="shared" si="21"/>
        <v>0</v>
      </c>
      <c r="AK23" s="197">
        <f t="shared" si="21"/>
        <v>3</v>
      </c>
      <c r="AL23" s="197">
        <f t="shared" si="21"/>
        <v>19</v>
      </c>
      <c r="AM23" s="197">
        <f t="shared" si="21"/>
        <v>22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612</v>
      </c>
      <c r="AZ23" s="197">
        <f>SUBTOTAL(9,AZ15:AZ22)</f>
        <v>449</v>
      </c>
      <c r="BA23" s="197">
        <f>SUBTOTAL(9,BA15:BA22)</f>
        <v>390</v>
      </c>
      <c r="BB23" s="197">
        <f>SUBTOTAL(9,BB15:BB22)</f>
        <v>546</v>
      </c>
      <c r="BC23" s="197">
        <f>SUBTOTAL(9,BC15:BC22)</f>
        <v>40</v>
      </c>
      <c r="BD23" s="219">
        <f>IF(ISNUMBER(BA23/AZ23),BA23/AZ23," - ")</f>
        <v>0.86859688195991092</v>
      </c>
      <c r="BE23" s="220">
        <f>IF(ISNUMBER(BB23/BA23),BB23/BA23, " - ")</f>
        <v>1.4</v>
      </c>
      <c r="BF23" s="220">
        <f>IF(ISNUMBER(BC23/BA23),BC23/BA23, " - ")</f>
        <v>0.10256410256410256</v>
      </c>
      <c r="BG23" s="221">
        <f>IF(ISNUMBER((AY23+AZ23)/BA23),(AY23+AZ23)/BA23," - ")</f>
        <v>2.7205128205128206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1998</v>
      </c>
      <c r="J31" s="144">
        <f t="shared" si="36"/>
        <v>598</v>
      </c>
      <c r="K31" s="144">
        <f t="shared" si="36"/>
        <v>622</v>
      </c>
      <c r="L31" s="144">
        <f t="shared" si="36"/>
        <v>2421</v>
      </c>
      <c r="M31" s="144">
        <f t="shared" si="36"/>
        <v>133</v>
      </c>
      <c r="N31" s="144">
        <f t="shared" si="36"/>
        <v>252</v>
      </c>
      <c r="O31" s="144">
        <f t="shared" si="36"/>
        <v>52</v>
      </c>
      <c r="P31" s="144">
        <f t="shared" si="36"/>
        <v>48</v>
      </c>
      <c r="Q31" s="144">
        <f t="shared" si="36"/>
        <v>20</v>
      </c>
      <c r="R31" s="144">
        <f t="shared" si="36"/>
        <v>1787</v>
      </c>
      <c r="S31" s="144">
        <f t="shared" si="36"/>
        <v>1468</v>
      </c>
      <c r="T31" s="144">
        <f t="shared" si="36"/>
        <v>852</v>
      </c>
      <c r="U31" s="144">
        <f t="shared" si="36"/>
        <v>791</v>
      </c>
      <c r="V31" s="144">
        <f t="shared" si="36"/>
        <v>1404</v>
      </c>
      <c r="W31" s="144">
        <f t="shared" si="36"/>
        <v>119</v>
      </c>
      <c r="X31" s="144">
        <f t="shared" si="36"/>
        <v>380</v>
      </c>
      <c r="Y31" s="144">
        <f t="shared" si="36"/>
        <v>38</v>
      </c>
      <c r="Z31" s="144">
        <f t="shared" si="36"/>
        <v>4</v>
      </c>
      <c r="AA31" s="144">
        <f t="shared" si="36"/>
        <v>9</v>
      </c>
      <c r="AB31" s="144">
        <f t="shared" si="36"/>
        <v>47</v>
      </c>
      <c r="AC31" s="144">
        <f t="shared" si="36"/>
        <v>2</v>
      </c>
      <c r="AD31" s="144">
        <f t="shared" si="36"/>
        <v>2</v>
      </c>
      <c r="AE31" s="144">
        <f t="shared" si="36"/>
        <v>2</v>
      </c>
      <c r="AF31" s="144">
        <f t="shared" si="36"/>
        <v>2</v>
      </c>
      <c r="AG31" s="144">
        <f t="shared" si="36"/>
        <v>32</v>
      </c>
      <c r="AH31" s="144">
        <f t="shared" si="36"/>
        <v>34</v>
      </c>
      <c r="AI31" s="144">
        <f t="shared" si="36"/>
        <v>23</v>
      </c>
      <c r="AJ31" s="144">
        <f t="shared" si="36"/>
        <v>40</v>
      </c>
      <c r="AK31" s="144">
        <f t="shared" si="36"/>
        <v>3</v>
      </c>
      <c r="AL31" s="144">
        <f t="shared" si="36"/>
        <v>19</v>
      </c>
      <c r="AM31" s="144">
        <f t="shared" si="36"/>
        <v>22</v>
      </c>
      <c r="AN31" s="224">
        <f t="shared" si="36"/>
        <v>0</v>
      </c>
      <c r="AO31" s="225">
        <v>3</v>
      </c>
      <c r="AP31" s="225">
        <v>2</v>
      </c>
      <c r="AQ31" s="225">
        <v>2</v>
      </c>
      <c r="AR31" s="225">
        <v>2</v>
      </c>
      <c r="AS31" s="166">
        <f t="shared" si="36"/>
        <v>0</v>
      </c>
      <c r="AT31" s="166">
        <f t="shared" si="36"/>
        <v>0</v>
      </c>
      <c r="AU31" s="225"/>
      <c r="AV31" s="226"/>
      <c r="AW31" s="225"/>
      <c r="AX31" s="226"/>
      <c r="AY31" s="143">
        <f>SUBTOTAL(9,AY9:AY30)</f>
        <v>1500</v>
      </c>
      <c r="AZ31" s="144">
        <f>SUBTOTAL(9,AZ9:AZ30)</f>
        <v>886</v>
      </c>
      <c r="BA31" s="144">
        <f>SUBTOTAL(9,BA9:BA30)</f>
        <v>814</v>
      </c>
      <c r="BB31" s="144">
        <f>SUBTOTAL(9,BB9:BB30)</f>
        <v>1444</v>
      </c>
      <c r="BC31" s="145">
        <f>SUBTOTAL(9,BC9:BC30)</f>
        <v>196</v>
      </c>
      <c r="BD31" s="227">
        <f>IF(ISNUMBER(BA31/AZ31),BA31/AZ31," - ")</f>
        <v>0.91873589164785552</v>
      </c>
      <c r="BE31" s="224">
        <f>IF(ISNUMBER(BB31/BA31),BB31/BA31, " - ")</f>
        <v>1.7739557739557739</v>
      </c>
      <c r="BF31" s="224">
        <f>IF(ISNUMBER(BC31/BA31),BC31/BA31, " - ")</f>
        <v>0.24078624078624078</v>
      </c>
      <c r="BG31" s="145">
        <f>IF(ISNUMBER((AY31+AZ31)/BA31),(AY31+AZ31)/BA31," - ")</f>
        <v>2.9312039312039313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4SEHTcT5Glt+C5oIDjCLcvNqzi3K2LxgSxdUtOQ7LQMUahBbCyV3paat41CIDPjzvn20XS/Gc+cHEuTuxad+A==" saltValue="4vQTiJZbzu3Ddpx/XGkO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wyjwHnv0l+/Qbuby+0PJtdl/Ee4/XQN0J84G1StOUeLUt793Oi6LhcE9ZZnumckzPwzyP3Er9RmLhFENCkQ2Q==" saltValue="siNRDF3QpOQo6lVtB+WE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MIRANDA DE EBRO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1722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1.3414634146341464</v>
      </c>
      <c r="BH12" s="764">
        <f>IF(ISNUMBER(((IF(J_V="SI",Datos!L12/Datos!K12,(Datos!L12+Datos!AB12)/(Datos!K12+Datos!AA12)))*11)/factor_trimestre),((IF(J_V="SI",Datos!L12/Datos!K12,(Datos!L12+Datos!AB12)/(Datos!K12+Datos!AA12)))*11)/factor_trimestre," - ")</f>
        <v>20.113636363636363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1.4134275618374558E-2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20</v>
      </c>
      <c r="AD14" s="1198">
        <f t="shared" si="2"/>
        <v>0</v>
      </c>
      <c r="AE14" s="1198">
        <f t="shared" si="2"/>
        <v>0</v>
      </c>
      <c r="AF14" s="1198">
        <f t="shared" si="2"/>
        <v>7</v>
      </c>
      <c r="AG14" s="1198">
        <f t="shared" si="2"/>
        <v>0</v>
      </c>
      <c r="AH14" s="1198">
        <f t="shared" si="2"/>
        <v>47</v>
      </c>
      <c r="AI14" s="1198">
        <f t="shared" si="2"/>
        <v>0</v>
      </c>
      <c r="AJ14" s="1198">
        <f t="shared" si="2"/>
        <v>0</v>
      </c>
      <c r="AK14" s="1198">
        <f t="shared" si="2"/>
        <v>0</v>
      </c>
      <c r="AL14" s="1198">
        <f t="shared" si="2"/>
        <v>0</v>
      </c>
      <c r="AM14" s="1198">
        <f t="shared" si="2"/>
        <v>1723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v>
      </c>
      <c r="BD14" s="1198">
        <f t="shared" si="2"/>
        <v>64</v>
      </c>
      <c r="BE14" s="1198">
        <f t="shared" si="2"/>
        <v>0</v>
      </c>
      <c r="BF14" s="1198">
        <f t="shared" si="2"/>
        <v>0</v>
      </c>
      <c r="BG14" s="1198">
        <f>IF(ISNUMBER(Datos!K14/Datos!J14),Datos!K14/Datos!J14," - ")</f>
        <v>1.31055900621118</v>
      </c>
      <c r="BH14" s="1202">
        <f>IF(ISNUMBER(((Datos!L14/Datos!K14)*11)/factor_trimestre),((Datos!L14/Datos!K14)*11)/factor_trimestre," - ")</f>
        <v>20.402843601895739</v>
      </c>
      <c r="BI14" s="1198">
        <f>IF(ISNUMBER('Resol  Asuntos'!D14/NºAsuntos!G14),'Resol  Asuntos'!D14/NºAsuntos!G14," - ")</f>
        <v>0.35454545454545455</v>
      </c>
      <c r="BJ14" s="1198" t="str">
        <f>IF(ISNUMBER(Datos!CI14/Datos!CJ14),Datos!CI14/Datos!CJ14," - ")</f>
        <v xml:space="preserve"> - </v>
      </c>
      <c r="BK14" s="1198">
        <f>SUBTOTAL(9,BK8:BK13)</f>
        <v>0</v>
      </c>
      <c r="BL14" s="1198">
        <f>IF(ISNUMBER((I14-AB14+L14)/(F14)),(I14-AB14+L14)/(F14)," - ")</f>
        <v>0</v>
      </c>
      <c r="BM14" s="1203">
        <f>SUBTOTAL(9,BM9:BM13)</f>
        <v>1.4134275618374558E-2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824</v>
      </c>
      <c r="G17" s="743">
        <f>IF(ISNUMBER(IF(D_I="SI",Datos!I17,Datos!I17+Datos!AC17)),IF(D_I="SI",Datos!I17,Datos!I17+Datos!AC17)," - ")</f>
        <v>824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393</v>
      </c>
      <c r="AC17" s="240">
        <f>IF(ISNUMBER(Datos!Q17),Datos!Q17," - ")</f>
        <v>0</v>
      </c>
      <c r="AD17" s="374"/>
      <c r="AE17" s="562"/>
      <c r="AF17" s="741">
        <f>IF(ISNUMBER(IF(D_I="SI",Datos!L17,Datos!L17+Datos!AF17)),IF(D_I="SI",Datos!L17,Datos!L17+Datos!AF17)," - ")</f>
        <v>825</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170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0.9974619289340102</v>
      </c>
      <c r="BH17" s="764">
        <f>IF(ISNUMBER(((IF(D_I="SI",Datos!L17/Datos!K17,(Datos!L17+Datos!AF17)/(Datos!K17+Datos!AE17)))*11)/factor_trimestre),((IF(D_I="SI",Datos!L17/Datos!K17,(Datos!L17+Datos!AF17)/(Datos!K17+Datos!AE17)))*11)/factor_trimestre," - ")</f>
        <v>6.2977099236641223</v>
      </c>
      <c r="BI17" s="266">
        <f>IF(ISNUMBER('Resol  Asuntos'!D17/NºAsuntos!G17),'Resol  Asuntos'!D17/NºAsuntos!G17," - ")</f>
        <v>0.13740458015267176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161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0.41860465116279072</v>
      </c>
      <c r="BH18" s="764">
        <f>IF(ISNUMBER(((IF(D_I="SI",Datos!L18/Datos!K18,(Datos!L18+Datos!AF18)/(Datos!K18+Datos!AE18)))*11)/factor_trimestre),((IF(D_I="SI",Datos!L18/Datos!K18,(Datos!L18+Datos!AF18)/(Datos!K18+Datos!AE18)))*11)/factor_trimestre," - ")</f>
        <v>26.833333333333332</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824</v>
      </c>
      <c r="G23" s="1197">
        <f>SUBTOTAL(9,G16:G22)</f>
        <v>960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411</v>
      </c>
      <c r="AC23" s="1198">
        <f t="shared" si="5"/>
        <v>0</v>
      </c>
      <c r="AD23" s="1198">
        <f t="shared" si="5"/>
        <v>0</v>
      </c>
      <c r="AE23" s="1198">
        <f t="shared" si="5"/>
        <v>0</v>
      </c>
      <c r="AF23" s="1198">
        <f t="shared" si="5"/>
        <v>986</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188</v>
      </c>
      <c r="BE23" s="1198">
        <f t="shared" si="5"/>
        <v>0</v>
      </c>
      <c r="BF23" s="1198">
        <f t="shared" si="5"/>
        <v>0</v>
      </c>
      <c r="BG23" s="1198">
        <f>IF(ISNUMBER(Datos!K23/Datos!J23),Datos!K23/Datos!J23," - ")</f>
        <v>0.94050343249427915</v>
      </c>
      <c r="BH23" s="1202">
        <f>IF(ISNUMBER(((Datos!L23/Datos!K23)*11)/factor_trimestre),((Datos!L23/Datos!K23)*11)/factor_trimestre," - ")</f>
        <v>7.1970802919708028</v>
      </c>
      <c r="BI23" s="1198">
        <f>SUBTOTAL(9,BI16:BI22)</f>
        <v>0.19296013570822731</v>
      </c>
      <c r="BJ23" s="1198">
        <f>SUBTOTAL(9,BJ16:BJ22)</f>
        <v>0</v>
      </c>
      <c r="BK23" s="1198">
        <f>SUBTOTAL(9,BK16:BK22)</f>
        <v>0</v>
      </c>
      <c r="BL23" s="1198">
        <f>IF(ISNUMBER((I23-AB23+L23)/(F23)),(I23-AB23+L23)/(F23)," - ")</f>
        <v>-0.49878640776699029</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830</v>
      </c>
      <c r="G31" s="1117">
        <f t="shared" si="18"/>
        <v>966</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411</v>
      </c>
      <c r="AC31" s="1118">
        <f t="shared" si="19"/>
        <v>20</v>
      </c>
      <c r="AD31" s="1118">
        <f t="shared" si="19"/>
        <v>0</v>
      </c>
      <c r="AE31" s="1118">
        <f t="shared" si="19"/>
        <v>0</v>
      </c>
      <c r="AF31" s="1125">
        <f t="shared" si="19"/>
        <v>993</v>
      </c>
      <c r="AG31" s="1125">
        <f t="shared" si="19"/>
        <v>0</v>
      </c>
      <c r="AH31" s="1125">
        <f t="shared" si="19"/>
        <v>47</v>
      </c>
      <c r="AI31" s="1125">
        <f t="shared" si="19"/>
        <v>0</v>
      </c>
      <c r="AJ31" s="1118">
        <f t="shared" si="19"/>
        <v>0</v>
      </c>
      <c r="AK31" s="1125">
        <f t="shared" si="19"/>
        <v>0</v>
      </c>
      <c r="AL31" s="1125">
        <f t="shared" si="19"/>
        <v>0</v>
      </c>
      <c r="AM31" s="1125">
        <f t="shared" si="19"/>
        <v>1787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133</v>
      </c>
      <c r="BD31" s="1117">
        <f t="shared" si="19"/>
        <v>252</v>
      </c>
      <c r="BE31" s="1117">
        <f t="shared" si="19"/>
        <v>0</v>
      </c>
      <c r="BF31" s="1127">
        <f t="shared" si="19"/>
        <v>0</v>
      </c>
      <c r="BG31" s="1223">
        <f>IF(ISNUMBER(Datos!K31/Datos!J31),Datos!K31/Datos!J31," - ")</f>
        <v>1.040133779264214</v>
      </c>
      <c r="BH31" s="1223">
        <f>IF(ISNUMBER(((Datos!L31/Datos!K31)*11)/factor_trimestre),((Datos!L31/Datos!K31)*11)/factor_trimestre," - ")</f>
        <v>11.676848874598072</v>
      </c>
      <c r="BI31" s="1103">
        <f>IF(ISNUMBER(Datos!J31/Datos!I31),Datos!J31/Datos!I31," - ")</f>
        <v>0.29929929929929933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-0.49518072289156628</v>
      </c>
      <c r="BM31" s="1188">
        <f>IF(ISNUMBER((Datos!P31-Datos!Q31+R31)/(Datos!R31-Datos!P31+Datos!Q31-R31)),(Datos!P31-Datos!Q31+R31)/(Datos!R31-Datos!P31+Datos!Q31-R31)," - ")</f>
        <v>1.5918135304150087E-2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423.97106819530347</v>
      </c>
      <c r="G33" s="674">
        <f>IF(ISNUMBER(STDEV(G8:G30)),STDEV(G8:G30),"-")</f>
        <v>425.42371035631447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194.57976697047852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36.381902879630374</v>
      </c>
      <c r="BD33" s="673"/>
      <c r="BE33" s="673">
        <f>IF(ISNUMBER(STDEV(BE8:BE30)),STDEV(BE8:BE30),"-")</f>
        <v>0</v>
      </c>
      <c r="BF33" s="678">
        <f>IF(ISNUMBER(STDEV(BF8:BF30)),STDEV(BF8:BF30),"-")</f>
        <v>0</v>
      </c>
      <c r="BG33" s="1052">
        <f>IF(ISNUMBER(STDEV(BG8:BG30)),STDEV(BG8:BG30),"-")</f>
        <v>0.52740803325290164</v>
      </c>
      <c r="BH33" s="1058">
        <f>IF(ISNUMBER(STDEV(BH8:BH30)),STDEV(BH8:BH30),"-")</f>
        <v>9.0159761551111277</v>
      </c>
      <c r="BI33" s="273">
        <f>IF(ISNUMBER(STDEV(BI8:BI30)),STDEV(BI8:BI30),"-")</f>
        <v>0.12626712277327595</v>
      </c>
      <c r="BJ33" s="244" t="str">
        <f>IF(ISNUMBER(BL33/BM33),BL33/BM33," - ")</f>
        <v xml:space="preserve"> - </v>
      </c>
      <c r="BK33" s="709"/>
      <c r="BL33" s="681">
        <f>IF(ISNUMBER(STDEV(BL8:BL30)),STDEV(BL8:BL30),"-")</f>
        <v>0.35269525129571727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Bx6aTuE8CDnXAwMx/D/mBTLI/CG36dM4+xbtBWevrj0cpQJdhBwSJ0XZocQjgq+GfwAXvw7Ow4qy1iyNjDJZQ==" saltValue="TnyWYJcHbp2B4KhZKus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MIRANDA DE EBRO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1722</v>
      </c>
      <c r="AF12" s="693" t="str">
        <f>IF(ISNUMBER(Datos!BV12),Datos!BV12," - ")</f>
        <v xml:space="preserve"> - </v>
      </c>
      <c r="AG12" s="552" t="str">
        <f>IF(ISNUMBER(Datos!DV12),Datos!DV12," - ")</f>
        <v xml:space="preserve"> - </v>
      </c>
      <c r="AH12" s="553"/>
      <c r="AI12" s="554"/>
      <c r="AJ12" s="552">
        <f>IF(ISNUMBER(Datos!M12),Datos!M12," - ")</f>
        <v>78</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20.113636363636363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1.4134275618374558E-2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20</v>
      </c>
      <c r="AA14" s="1199">
        <f t="shared" si="3"/>
        <v>7</v>
      </c>
      <c r="AB14" s="1199">
        <f t="shared" si="3"/>
        <v>0</v>
      </c>
      <c r="AC14" s="1199">
        <f t="shared" si="3"/>
        <v>0</v>
      </c>
      <c r="AD14" s="1199">
        <f t="shared" si="3"/>
        <v>0</v>
      </c>
      <c r="AE14" s="1199">
        <f t="shared" si="3"/>
        <v>1723</v>
      </c>
      <c r="AF14" s="1211">
        <f t="shared" si="3"/>
        <v>0</v>
      </c>
      <c r="AG14" s="1211">
        <f t="shared" si="3"/>
        <v>0</v>
      </c>
      <c r="AH14" s="1211">
        <f t="shared" si="3"/>
        <v>0</v>
      </c>
      <c r="AI14" s="1211">
        <f t="shared" si="3"/>
        <v>0</v>
      </c>
      <c r="AJ14" s="1211">
        <f t="shared" si="3"/>
        <v>78</v>
      </c>
      <c r="AK14" s="1211">
        <f t="shared" si="3"/>
        <v>64</v>
      </c>
      <c r="AL14" s="1211">
        <f t="shared" si="3"/>
        <v>0</v>
      </c>
      <c r="AM14" s="1211">
        <f t="shared" si="3"/>
        <v>0</v>
      </c>
      <c r="AN14" s="1211">
        <f t="shared" si="3"/>
        <v>0</v>
      </c>
      <c r="AO14" s="1203">
        <f>IF(ISNUMBER(((NºAsuntos!I14/NºAsuntos!G14)*11)/factor_trimestre),((NºAsuntos!I14/NºAsuntos!G14)*11)/factor_trimestre," - ")</f>
        <v>20.209090909090907</v>
      </c>
      <c r="AP14" s="1213" t="str">
        <f>IF(ISNUMBER(Datos!CI14/Datos!CJ14),Datos!CI14/Datos!CJ14," - ")</f>
        <v xml:space="preserve"> - </v>
      </c>
      <c r="AQ14" s="1236">
        <f t="shared" ref="AQ14:AV14" si="4">SUBTOTAL(9,AQ9:AQ13)</f>
        <v>0</v>
      </c>
      <c r="AR14" s="1236">
        <f t="shared" si="4"/>
        <v>1.4134275618374558E-2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824</v>
      </c>
      <c r="G17" s="552">
        <f>IF(ISNUMBER(IF(D_I="SI",Datos!I17,Datos!I17+Datos!AC17)),IF(D_I="SI",Datos!I17,Datos!I17+Datos!AC17)," - ")</f>
        <v>824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393</v>
      </c>
      <c r="Z17" s="805">
        <f>IF(ISNUMBER(Datos!Q17),Datos!Q17," - ")</f>
        <v>0</v>
      </c>
      <c r="AA17" s="551">
        <f>IF(ISNUMBER(IF(D_I="SI",Datos!L17,Datos!L17+Datos!AF17)),IF(D_I="SI",Datos!L17,Datos!L17+Datos!AF17)," - ")</f>
        <v>825</v>
      </c>
      <c r="AB17" s="549"/>
      <c r="AC17" s="549"/>
      <c r="AD17" s="563"/>
      <c r="AE17" s="563">
        <f>IF(ISNUMBER(Datos!R17),Datos!R17," - ")</f>
        <v>64</v>
      </c>
      <c r="AF17" s="693" t="str">
        <f>IF(ISNUMBER(Datos!BV17),Datos!BV17," - ")</f>
        <v xml:space="preserve"> - </v>
      </c>
      <c r="AG17" s="552"/>
      <c r="AH17" s="553"/>
      <c r="AI17" s="554"/>
      <c r="AJ17" s="552">
        <f>IF(ISNUMBER(Datos!M17),Datos!M17," - ")</f>
        <v>54</v>
      </c>
      <c r="AK17" s="693">
        <f>IF(ISNUMBER(Datos!N17),Datos!N17," - ")</f>
        <v>170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6.2977099236641223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161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26.833333333333332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824</v>
      </c>
      <c r="G23" s="1197">
        <f>SUBTOTAL(9,G16:G22)</f>
        <v>960</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411</v>
      </c>
      <c r="Z23" s="1240">
        <f t="shared" si="6"/>
        <v>0</v>
      </c>
      <c r="AA23" s="1240">
        <f t="shared" si="6"/>
        <v>986</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55</v>
      </c>
      <c r="AK23" s="1240">
        <f t="shared" si="6"/>
        <v>188</v>
      </c>
      <c r="AL23" s="1240">
        <f t="shared" si="6"/>
        <v>0</v>
      </c>
      <c r="AM23" s="1240">
        <f t="shared" si="6"/>
        <v>0</v>
      </c>
      <c r="AN23" s="1240">
        <f t="shared" si="6"/>
        <v>0</v>
      </c>
      <c r="AO23" s="1242">
        <f>IF(ISNUMBER(((NºAsuntos!I23/NºAsuntos!G23)*11)/factor_trimestre),((NºAsuntos!I23/NºAsuntos!G23)*11)/factor_trimestre," - ")</f>
        <v>7.1970802919708028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830</v>
      </c>
      <c r="G31" s="1117">
        <f t="shared" si="12"/>
        <v>966</v>
      </c>
      <c r="H31" s="1118">
        <f t="shared" si="12"/>
        <v>0</v>
      </c>
      <c r="I31" s="1117">
        <f t="shared" si="12"/>
        <v>0</v>
      </c>
      <c r="J31" s="1119">
        <f t="shared" si="12"/>
        <v>0</v>
      </c>
      <c r="K31" s="1117">
        <f t="shared" si="12"/>
        <v>0</v>
      </c>
      <c r="L31" s="1120">
        <f t="shared" si="12"/>
        <v>0</v>
      </c>
      <c r="M31" s="1117">
        <f t="shared" si="12"/>
        <v>0</v>
      </c>
      <c r="N31" s="1118">
        <f t="shared" si="12"/>
        <v>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411</v>
      </c>
      <c r="Z31" s="1124">
        <f t="shared" si="13"/>
        <v>20</v>
      </c>
      <c r="AA31" s="1125">
        <f t="shared" si="13"/>
        <v>993</v>
      </c>
      <c r="AB31" s="1125">
        <f t="shared" si="13"/>
        <v>0</v>
      </c>
      <c r="AC31" s="1125">
        <f t="shared" si="13"/>
        <v>0</v>
      </c>
      <c r="AD31" s="1126">
        <f t="shared" si="13"/>
        <v>0</v>
      </c>
      <c r="AE31" s="1126">
        <f t="shared" si="13"/>
        <v>1787</v>
      </c>
      <c r="AF31" s="1127">
        <f t="shared" si="13"/>
        <v>0</v>
      </c>
      <c r="AG31" s="1128">
        <f t="shared" si="13"/>
        <v>0</v>
      </c>
      <c r="AH31" s="1129">
        <f t="shared" si="13"/>
        <v>0</v>
      </c>
      <c r="AI31" s="1127">
        <f t="shared" si="13"/>
        <v>0</v>
      </c>
      <c r="AJ31" s="1117">
        <f t="shared" si="13"/>
        <v>133</v>
      </c>
      <c r="AK31" s="1117">
        <f t="shared" si="13"/>
        <v>252</v>
      </c>
      <c r="AL31" s="1117">
        <f t="shared" si="13"/>
        <v>0</v>
      </c>
      <c r="AM31" s="1130">
        <f t="shared" si="13"/>
        <v>0</v>
      </c>
      <c r="AN31" s="1120">
        <f>IF(ISNUMBER(Datos!K31/Datos!J31),Datos!K31/Datos!J31," - ")</f>
        <v>1.040133779264214</v>
      </c>
      <c r="AO31" s="1120">
        <f>IF(ISNUMBER(FIND("06",Criterios!A8,1)),(IF(ISNUMBER(((Datos!R31/Datos!Q31)*11)/factor_trimestre),((Datos!R31/Datos!Q31)*11)/factor_trimestre," - ")),(IF(ISNUMBER(((Datos!L31/Datos!K31)*11)/factor_trimestre),((Datos!L31/Datos!K31)*11)/factor_trimestre," - ")))</f>
        <v>11.676848874598072</v>
      </c>
      <c r="AP31" s="1131" t="str">
        <f>IF(ISNUMBER(Datos!CI31/Datos!CJ31),Datos!CI31/Datos!CJ31," - ")</f>
        <v xml:space="preserve"> - </v>
      </c>
      <c r="AQ31" s="1131">
        <f>IF(OR(ISNUMBER(FIND("01",Criterios!A8,1)),ISNUMBER(FIND("02",Criterios!A8,1)),ISNUMBER(FIND("03",Criterios!A8,1)),ISNUMBER(FIND("04",Criterios!A8,1))),(J31-Y31+K31)/(F31-K31),(I31-Y31+K31)/(F31-K31))</f>
        <v>-0.49518072289156628</v>
      </c>
      <c r="AR31" s="1131">
        <f>IF(ISNUMBER((Datos!P31-Datos!Q31+O31)/(Datos!R31-Datos!P31+Datos!Q31-O31)),(Datos!P31-Datos!Q31+O31)/(Datos!R31-Datos!P31+Datos!Q31-O31)," - ")</f>
        <v>1.5918135304150087E-2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423.97106819530347</v>
      </c>
      <c r="G33" s="674">
        <f>IF(ISNUMBER(STDEV(G8:G30)),STDEV(G8:G30),"-")</f>
        <v>425.42371035631447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36.381902879630374</v>
      </c>
      <c r="AK33" s="276"/>
      <c r="AL33" s="276">
        <f>IF(ISNUMBER(STDEV(AL8:AL30)),STDEV(AL8:AL30),"-")</f>
        <v>0</v>
      </c>
      <c r="AM33" s="278">
        <f>IF(ISNUMBER(STDEV(AM8:AM30)),STDEV(AM8:AM30),"-")</f>
        <v>0</v>
      </c>
      <c r="AN33" s="660">
        <f>IF(ISNUMBER(STDEV(AN8:AN30)),STDEV(AN8:AN30),"-")</f>
        <v>0</v>
      </c>
      <c r="AO33" s="661">
        <f>IF(ISNUMBER(STDEV(AO8:AO30)),STDEV(AO8:AO30),"-")</f>
        <v>8.9936181300587865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7sx02ympUJYLlP0Nv+6ZQaFLwqDJsb31MS+norQYDXCOg0fGQwvRJmFNQFSeVDn4vJ4vjNVWjt1F+OSlADOEA==" saltValue="SM08cThvYJNgnpknvkDU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tJFm1BPBp4F7bryVMDUeWjKsQFJz0+Vl4wAuyKBsNRYZNwhqaqCc1Lszbrl2ASCt6pIg08zd8G9ni4/ia0deA==" saltValue="jVGpSHep6G77eNcbapJ1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zZBlSWWliatEtb5hJZvcVzp7PAv3FIaPql/KHduBfQxZBaZsspqId8caHKykOM0lXY2OFYkNwTsUfcQGjKRQ==" saltValue="hENaZWBy+hDlad3rsV9S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MIRANDA DE EBRO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0.35454545454545455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0.25070149514795775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T/Fr1NyTIhWr5TeNkeimrm6mRpRLlHmVrlu9fpUU3U7QWqelbEwe5Lh7QOmxnOwMZjOQXBAvHt/MTaD7rG0NA==" saltValue="pFV253CLQoM0eyd9KpHg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ZE5Tk6HT8Mi8QzAJlCRBe5r1KkxWFkDc6tbMSas9s9LIVcOB8fz+KK+q7qocUDbyh4p9YG1dyWLwR5yUjmXkA==" saltValue="VKyDpnTGfwytTCZXUg2d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MIRANDA DE EBRO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0</v>
      </c>
      <c r="H10" s="452">
        <f>IF(ISNUMBER(G10/B10),G10/B10," - ")</f>
        <v>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1070</v>
      </c>
      <c r="D12" s="452">
        <f>IF(ISNUMBER(C12/Datos!BH12),C12/Datos!BH12," - ")</f>
        <v>535</v>
      </c>
      <c r="E12" s="451">
        <f>IF(ISNUMBER(IF(J_V="SI",Datos!J12,Datos!J12+Datos!Z12)),IF(J_V="SI",Datos!J12,Datos!J12+Datos!Z12)," - ")</f>
        <v>164</v>
      </c>
      <c r="F12" s="452">
        <f>IF(ISNUMBER(E12/B12),E12/B12," - ")</f>
        <v>82</v>
      </c>
      <c r="G12" s="451">
        <f>IF(ISNUMBER(IF(J_V="SI",Datos!K12,Datos!K12+Datos!AA12)),IF(J_V="SI",Datos!K12,Datos!K12+Datos!AA12)," - ")</f>
        <v>220</v>
      </c>
      <c r="H12" s="452">
        <f>IF(ISNUMBER(G12/B12),G12/B12," - ")</f>
        <v>110</v>
      </c>
      <c r="I12" s="451">
        <f>IF(ISNUMBER(IF(J_V="SI",Datos!L12,Datos!L12+Datos!AB12)),IF(J_V="SI",Datos!L12,Datos!L12+Datos!AB12)," - ")</f>
        <v>1475</v>
      </c>
      <c r="J12" s="452">
        <f>IF(ISNUMBER(I12/B12),I12/B12," - ")</f>
        <v>737.5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1076</v>
      </c>
      <c r="D14" s="1147" t="str">
        <f>IF(ISNUMBER(C14/Datos!BI14),C14/Datos!BI14," - ")</f>
        <v xml:space="preserve"> - </v>
      </c>
      <c r="E14" s="1146">
        <f>SUBTOTAL(9,E8:E13)</f>
        <v>165</v>
      </c>
      <c r="F14" s="1147">
        <f>IF(ISNUMBER(E14/B14),E14/B14," - ")</f>
        <v>82.5</v>
      </c>
      <c r="G14" s="1146">
        <f>SUBTOTAL(9,G8:G13)</f>
        <v>220</v>
      </c>
      <c r="H14" s="1147">
        <f>IF(ISNUMBER(G14/B14),G14/B14," - ")</f>
        <v>110</v>
      </c>
      <c r="I14" s="1146">
        <f>SUBTOTAL(9,I8:I13)</f>
        <v>1482</v>
      </c>
      <c r="J14" s="1147">
        <f>IF(ISNUMBER(I14/B14),I14/B14," - ")</f>
        <v>741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824</v>
      </c>
      <c r="D17" s="452">
        <f>IF(ISNUMBER(C17/Datos!BH17),C17/Datos!BH17," - ")</f>
        <v>412</v>
      </c>
      <c r="E17" s="451">
        <f>IF(ISNUMBER(IF(D_I="SI",Datos!J17,Datos!J17+Datos!AD17)),IF(D_I="SI",Datos!J17,Datos!J17+Datos!AD17)," - ")</f>
        <v>394</v>
      </c>
      <c r="F17" s="452">
        <f>IF(ISNUMBER(E17/B17),E17/B17," - ")</f>
        <v>197</v>
      </c>
      <c r="G17" s="451">
        <f>IF(ISNUMBER(IF(D_I="SI",Datos!K17,Datos!K17+Datos!AE17)),IF(D_I="SI",Datos!K17,Datos!K17+Datos!AE17)," - ")</f>
        <v>393</v>
      </c>
      <c r="H17" s="452">
        <f>IF(ISNUMBER(G17/B17),G17/B17," - ")</f>
        <v>196.5</v>
      </c>
      <c r="I17" s="451">
        <f>IF(ISNUMBER(IF(D_I="SI",Datos!L17,Datos!L17+Datos!AF17)),IF(D_I="SI",Datos!L17,Datos!L17+Datos!AF17)," - ")</f>
        <v>825</v>
      </c>
      <c r="J17" s="452">
        <f>IF(ISNUMBER(I17/B17),I17/B17," - ")</f>
        <v>412.5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136</v>
      </c>
      <c r="D18" s="452">
        <f>IF(ISNUMBER(C18/Datos!BH18),C18/Datos!BH18," - ")</f>
        <v>136</v>
      </c>
      <c r="E18" s="451">
        <f>IF(ISNUMBER(IF(D_I="SI",Datos!J18,Datos!J18+Datos!AD18)),IF(D_I="SI",Datos!J18,Datos!J18+Datos!AD18)," - ")</f>
        <v>43</v>
      </c>
      <c r="F18" s="452">
        <f>IF(ISNUMBER(E18/B18),E18/B18," - ")</f>
        <v>43</v>
      </c>
      <c r="G18" s="451">
        <f>IF(ISNUMBER(IF(D_I="SI",Datos!K18,Datos!K18+Datos!AE18)),IF(D_I="SI",Datos!K18,Datos!K18+Datos!AE18)," - ")</f>
        <v>18</v>
      </c>
      <c r="H18" s="452">
        <f>IF(ISNUMBER(G18/B18),G18/B18," - ")</f>
        <v>18</v>
      </c>
      <c r="I18" s="451">
        <f>IF(ISNUMBER(IF(D_I="SI",Datos!L18,Datos!L18+Datos!AF18)),IF(D_I="SI",Datos!L18,Datos!L18+Datos!AF18)," - ")</f>
        <v>161</v>
      </c>
      <c r="J18" s="452">
        <f>IF(ISNUMBER(I18/B18),I18/B18," - ")</f>
        <v>161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960</v>
      </c>
      <c r="D23" s="1147" t="str">
        <f>IF(ISNUMBER(C23/Datos!BI23),C23/Datos!BI23," - ")</f>
        <v xml:space="preserve"> - </v>
      </c>
      <c r="E23" s="1146">
        <f>SUBTOTAL(9,E15:E22)</f>
        <v>437</v>
      </c>
      <c r="F23" s="1147">
        <f>IF(ISNUMBER(E23/B23),E23/B23," - ")</f>
        <v>218.5</v>
      </c>
      <c r="G23" s="1146">
        <f>SUBTOTAL(9,G15:G22)</f>
        <v>411</v>
      </c>
      <c r="H23" s="1147">
        <f>IF(ISNUMBER(G23/B23),G23/B23," - ")</f>
        <v>205.5</v>
      </c>
      <c r="I23" s="1146">
        <f>SUBTOTAL(9,I15:I22)</f>
        <v>986</v>
      </c>
      <c r="J23" s="1147">
        <f>IF(ISNUMBER(I23/B23),I23/B23," - ")</f>
        <v>493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2036</v>
      </c>
      <c r="D31" s="1085" t="str">
        <f>IF(ISNUMBER(C31/Datos!BI31),C31/Datos!BI31," - ")</f>
        <v xml:space="preserve"> - </v>
      </c>
      <c r="E31" s="1084">
        <f>SUBTOTAL(9,E9:E30)</f>
        <v>602</v>
      </c>
      <c r="F31" s="1085">
        <f>IF(ISNUMBER(E31/B31),E31/B31," - ")</f>
        <v>301</v>
      </c>
      <c r="G31" s="1084">
        <f>SUBTOTAL(9,G9:G30)</f>
        <v>631</v>
      </c>
      <c r="H31" s="1085">
        <f>IF(ISNUMBER(G31/B31),G31/B31," - ")</f>
        <v>315.5</v>
      </c>
      <c r="I31" s="1084">
        <f>SUBTOTAL(9,I9:I30)</f>
        <v>2468</v>
      </c>
      <c r="J31" s="1085">
        <f>IF(ISNUMBER(I31/B31),I31/B31," - ")</f>
        <v>1234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RrwIDg+USsZJcfdFcuf5Xof/4imvZfBoRqHLqa9xaPa1cooVRQiR8/7M1A3ikRFrAlDVuofr2EmrB6FdGcF3g==" saltValue="7BKFAn4zaxELmlhQz2Bc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MIRANDA DE EBRO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20.113636363636363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1.4134275618374558E-2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20</v>
      </c>
      <c r="AE14" s="1257">
        <f t="shared" si="1"/>
        <v>0</v>
      </c>
      <c r="AF14" s="1257">
        <f t="shared" si="1"/>
        <v>7</v>
      </c>
      <c r="AG14" s="1257">
        <f t="shared" si="1"/>
        <v>0</v>
      </c>
      <c r="AH14" s="1257">
        <f t="shared" si="1"/>
        <v>1722</v>
      </c>
      <c r="AI14" s="1257">
        <f t="shared" si="1"/>
        <v>0</v>
      </c>
      <c r="AJ14" s="1257">
        <f t="shared" si="1"/>
        <v>0</v>
      </c>
      <c r="AK14" s="1257">
        <f t="shared" si="1"/>
        <v>0</v>
      </c>
      <c r="AL14" s="1257">
        <f t="shared" si="1"/>
        <v>78</v>
      </c>
      <c r="AM14" s="1257">
        <f t="shared" si="1"/>
        <v>64</v>
      </c>
      <c r="AN14" s="1257">
        <f t="shared" si="1"/>
        <v>0</v>
      </c>
      <c r="AO14" s="1257">
        <f t="shared" si="1"/>
        <v>0</v>
      </c>
      <c r="AP14" s="1262">
        <f>IF(ISNUMBER(((Datos!L14/Datos!K14)*11)/factor_trimestre),((Datos!L14/Datos!K14)*11)/factor_trimestre," - ")</f>
        <v>20.402843601895739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1.4134275618374558E-2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7.1970802919708028</v>
      </c>
      <c r="AQ23" s="1262">
        <f>IF(ISNUMBER(((Datos!M23/Datos!L23)*11)/factor_trimestre),((Datos!M23/Datos!L23)*11)/factor_trimestre," - ")</f>
        <v>0.16734279918864098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-9.4674556213017749E-2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20</v>
      </c>
      <c r="AE31" s="1284">
        <f t="shared" si="9"/>
        <v>0</v>
      </c>
      <c r="AF31" s="1285">
        <f t="shared" si="9"/>
        <v>7</v>
      </c>
      <c r="AG31" s="1285">
        <f t="shared" si="9"/>
        <v>0</v>
      </c>
      <c r="AH31" s="1285">
        <f t="shared" si="9"/>
        <v>1722</v>
      </c>
      <c r="AI31" s="1285">
        <f t="shared" si="9"/>
        <v>0</v>
      </c>
      <c r="AJ31" s="1286">
        <f t="shared" si="9"/>
        <v>0</v>
      </c>
      <c r="AK31" s="1286">
        <f t="shared" si="9"/>
        <v>0</v>
      </c>
      <c r="AL31" s="1278">
        <f t="shared" si="9"/>
        <v>78</v>
      </c>
      <c r="AM31" s="1278">
        <f t="shared" si="9"/>
        <v>64</v>
      </c>
      <c r="AN31" s="1278">
        <f t="shared" si="9"/>
        <v>0</v>
      </c>
      <c r="AO31" s="1278">
        <f t="shared" si="9"/>
        <v>0</v>
      </c>
      <c r="AP31" s="1278">
        <f>IF(ISNUMBER(((Datos!L31/Datos!K31)*11)/factor_trimestre),((Datos!L31/Datos!K31)*11)/factor_trimestre," - ")</f>
        <v>11.676848874598072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1.5918135304150087E-2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40.279026800557133</v>
      </c>
      <c r="AM33" s="1006"/>
      <c r="AN33" s="1006">
        <f>IF(ISNUMBER(STDEV(AN8:AN30)),STDEV(AN8:AN30),"-")</f>
        <v>0</v>
      </c>
      <c r="AO33" s="1012">
        <f>IF(ISNUMBER(STDEV(AO8:AO30)),STDEV(AO8:AO30),"-")</f>
        <v>0</v>
      </c>
      <c r="AP33" s="1065">
        <f>IF(ISNUMBER(STDEV(AP8:AP30)),STDEV(AP8:AP30),"-")</f>
        <v>7.5422503955705187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qm2xP3QlkfOqVTso176EJu96/mLBRPrqZ8K/bn/fNxsuxTL2q5/29SxW7B4dmMB0GdVozda9FW8OERf90XHWQ==" saltValue="AzIollpaJNzmq5lj/T7p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MIRANDA DE EBRO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5HCGg61FD822mGbYBhIs0ec8yhcEKkrT3vJqA09TV+xNY9QK359Hhk4s4ZC/wAzZ8Zmk+VqbcZkzSWnDXILqw==" saltValue="Ea5J92++2pctgvFAvrPd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MIRANDA DE EBRO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78</v>
      </c>
      <c r="E12" s="452">
        <f t="shared" si="0"/>
        <v>39</v>
      </c>
      <c r="F12" s="451">
        <f>IF(ISNUMBER(Datos!N12),Datos!N12," - ")</f>
        <v>64</v>
      </c>
      <c r="G12" s="452">
        <f t="shared" si="1"/>
        <v>32</v>
      </c>
      <c r="H12" s="451">
        <f>IF(ISNUMBER(Datos!O12),Datos!O12," - ")</f>
        <v>52</v>
      </c>
      <c r="I12" s="452">
        <f t="shared" si="2"/>
        <v>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78</v>
      </c>
      <c r="E14" s="1147">
        <f t="shared" si="0"/>
        <v>26</v>
      </c>
      <c r="F14" s="1146">
        <f>SUBTOTAL(9,F9:F13)</f>
        <v>64</v>
      </c>
      <c r="G14" s="1147">
        <f t="shared" si="1"/>
        <v>21.333333333333332</v>
      </c>
      <c r="H14" s="1146">
        <f>SUBTOTAL(9,H9:H13)</f>
        <v>52</v>
      </c>
      <c r="I14" s="1147">
        <f>IF(ISNUMBER(H14/B14),H14/B14," - ")</f>
        <v>17.333333333333332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54</v>
      </c>
      <c r="E17" s="452">
        <f t="shared" si="3"/>
        <v>27</v>
      </c>
      <c r="F17" s="451">
        <f>IF(ISNUMBER(Datos!N17),Datos!N17," - ")</f>
        <v>170</v>
      </c>
      <c r="G17" s="452">
        <f t="shared" si="4"/>
        <v>85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188</v>
      </c>
      <c r="G23" s="1147">
        <f t="shared" si="4"/>
        <v>62.666666666666664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133</v>
      </c>
      <c r="E31" s="1085">
        <f>IF(ISNUMBER(D31/B31),D31/B31," - ")</f>
        <v>66.5</v>
      </c>
      <c r="F31" s="1084">
        <f>SUBTOTAL(9,F8:F30)</f>
        <v>252</v>
      </c>
      <c r="G31" s="1085">
        <f>IF(ISNUMBER(F31/B31),F31/B31," - ")</f>
        <v>126</v>
      </c>
      <c r="H31" s="1084">
        <f>SUBTOTAL(9,H8:H30)</f>
        <v>52</v>
      </c>
      <c r="I31" s="1085">
        <f>IF(ISNUMBER(H31/B31),H31/B31," - ")</f>
        <v>26</v>
      </c>
    </row>
    <row r="34" spans="1:1">
      <c r="A34" s="439" t="str">
        <f>Criterios!A4</f>
        <v>Fecha Informe: 05 may. 2023</v>
      </c>
    </row>
    <row r="39" spans="1:1">
      <c r="A39" s="462"/>
    </row>
  </sheetData>
  <sheetProtection algorithmName="SHA-512" hashValue="dJxNm9eapcQSzWFfo0lybQ6yjyI/wzYyUrfzdhmz3qEJSOSuoz0X9FEHspONvtTuSwpD5xB25g9woKZbgFgkAA==" saltValue="zIWEIi20yHTVO8GBNTQ0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MIRANDA DE EBRO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20</v>
      </c>
      <c r="D12" s="456">
        <f>IF(ISNUMBER(Datos!R12),Datos!R12," - ")</f>
        <v>1722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20</v>
      </c>
      <c r="D14" s="1148">
        <f>SUBTOTAL(9,D9:D13)</f>
        <v>1723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0</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0</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v>
      </c>
      <c r="C31" s="1089">
        <f>SUBTOTAL(9,C8:C30)</f>
        <v>20</v>
      </c>
      <c r="D31" s="1090">
        <f>SUBTOTAL(9,D8:D30)</f>
        <v>1787</v>
      </c>
    </row>
    <row r="32" spans="1:4" ht="7.5" customHeight="1"/>
    <row r="33" spans="1:1" ht="6" customHeight="1"/>
    <row r="34" spans="1:1">
      <c r="A34" s="439" t="str">
        <f>Criterios!A4</f>
        <v>Fecha Informe: 05 may. 2023</v>
      </c>
    </row>
    <row r="39" spans="1:1">
      <c r="A39" s="462"/>
    </row>
  </sheetData>
  <sheetProtection algorithmName="SHA-512" hashValue="+geffgLSR18KX3QcFBvFB3h2GkAtszVzwDQFa3lB6Z1x48l4wI6mjJt49+q+/09YQ2kmjcYo1N9j/KlZqPSPMQ==" saltValue="nuc1E9+6u/8Xh6Iw6sy2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MIRANDA DE EBRO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-0.53846153846153844</v>
      </c>
      <c r="C10" s="515">
        <f>IF(ISNUMBER((Datos!J10-Datos!T10)/Datos!T10),(Datos!J10-Datos!T10)/Datos!T10," - ")</f>
        <v>-0.5</v>
      </c>
      <c r="D10" s="515" t="str">
        <f>IF(ISNUMBER((Datos!K10-Datos!U10)/Datos!U10),(Datos!K10-Datos!U10)/Datos!U10," - ")</f>
        <v xml:space="preserve"> - </v>
      </c>
      <c r="E10" s="515">
        <f>IF(ISNUMBER((Datos!L10-Datos!V10)/Datos!V10),(Datos!L10-Datos!V10)/Datos!V10," - ")</f>
        <v>2.5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0.22285714285714286</v>
      </c>
      <c r="C12" s="515">
        <f>IF(ISNUMBER(
   IF(J_V="SI",(Datos!J12-Datos!T12)/Datos!T12,(Datos!J12+Datos!Z12-(Datos!T12+Datos!AH12))/(Datos!T12+Datos!AH12))
     ),IF(J_V="SI",(Datos!J12-Datos!T12)/Datos!T12,(Datos!J12+Datos!Z12-(Datos!T12+Datos!AH12))/(Datos!T12+Datos!AH12))," - ")</f>
        <v>-0.62298850574712639</v>
      </c>
      <c r="D12" s="515">
        <f>IF(ISNUMBER(
   IF(J_V="SI",(Datos!K12-Datos!U12)/Datos!U12,(Datos!K12+Datos!AA12-(Datos!U12+Datos!AI12))/(Datos!U12+Datos!AI12))
     ),IF(J_V="SI",(Datos!K12-Datos!U12)/Datos!U12,(Datos!K12+Datos!AA12-(Datos!U12+Datos!AI12))/(Datos!U12+Datos!AI12))," - ")</f>
        <v>-0.48113207547169812</v>
      </c>
      <c r="E12" s="515">
        <f>IF(ISNUMBER(
   IF(J_V="SI",(Datos!L12-Datos!V12)/Datos!V12,(Datos!L12+Datos!AB12-(Datos!V12+Datos!AJ12))/(Datos!V12+Datos!AJ12))
     ),IF(J_V="SI",(Datos!L12-Datos!V12)/Datos!V12,(Datos!L12+Datos!AB12-(Datos!V12+Datos!AJ12))/(Datos!V12+Datos!AJ12))," - ")</f>
        <v>0.6462053571428571</v>
      </c>
      <c r="F12" s="515">
        <f>IF(ISNUMBER((Datos!M12-Datos!W12)/Datos!W12),(Datos!M12-Datos!W12)/Datos!W12," - ")</f>
        <v>-1.2658227848101266E-2</v>
      </c>
      <c r="G12" s="516">
        <f>IF(ISNUMBER((Datos!N12-Datos!X12)/Datos!X12),(Datos!N12-Datos!X12)/Datos!X12," - ")</f>
        <v>-0.58974358974358976</v>
      </c>
      <c r="H12" s="514">
        <f>IF(ISNUMBER(((NºAsuntos!G12/NºAsuntos!E12)-Datos!BD12)/Datos!BD12),((NºAsuntos!G12/NºAsuntos!E12)-Datos!BD12)/Datos!BD12," - ")</f>
        <v>0.37626553152323988</v>
      </c>
      <c r="I12" s="515">
        <f>IF(ISNUMBER(((NºAsuntos!I12/NºAsuntos!G12)-Datos!BE12)/Datos!BE12),((NºAsuntos!I12/NºAsuntos!G12)-Datos!BE12)/Datos!BE12," - ")</f>
        <v>2.1726866883116878</v>
      </c>
      <c r="J12" s="521">
        <f>IF(ISNUMBER((('Resol  Asuntos'!D12/NºAsuntos!G12)-Datos!BF12)/Datos!BF12),(('Resol  Asuntos'!D12/NºAsuntos!G12)-Datos!BF12)/Datos!BF12," - ")</f>
        <v>-3.6363636363636279E-2</v>
      </c>
      <c r="K12" s="522">
        <f>IF(ISNUMBER((((NºAsuntos!C12+NºAsuntos!E12)/NºAsuntos!G12)-Datos!BG12)/Datos!BG12),(((NºAsuntos!C12+NºAsuntos!E12)/NºAsuntos!G12)-Datos!BG12)/Datos!BG12," - ")</f>
        <v>0.81546148507980587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0.21171171171171171</v>
      </c>
      <c r="C14" s="1152">
        <f>IF(ISNUMBER(
   IF(J_V="SI",(Datos!J14-Datos!T14)/Datos!T14,(Datos!J14+Datos!Z14-(Datos!T14+Datos!AH14))/(Datos!T14+Datos!AH14))
     ),IF(J_V="SI",(Datos!J14-Datos!T14)/Datos!T14,(Datos!J14+Datos!Z14-(Datos!T14+Datos!AH14))/(Datos!T14+Datos!AH14))," - ")</f>
        <v>-0.62242562929061784</v>
      </c>
      <c r="D14" s="1152">
        <f>IF(ISNUMBER(
   IF(J_V="SI",(Datos!K14-Datos!U14)/Datos!U14,(Datos!K14+Datos!AA14-(Datos!U14+Datos!AI14))/(Datos!U14+Datos!AI14))
     ),IF(J_V="SI",(Datos!K14-Datos!U14)/Datos!U14,(Datos!K14+Datos!AA14-(Datos!U14+Datos!AI14))/(Datos!U14+Datos!AI14))," - ")</f>
        <v>-0.48113207547169812</v>
      </c>
      <c r="E14" s="1152">
        <f>IF(ISNUMBER(
   IF(J_V="SI",(Datos!L14-Datos!V14)/Datos!V14,(Datos!L14+Datos!AB14-(Datos!V14+Datos!AJ14))/(Datos!V14+Datos!AJ14))
     ),IF(J_V="SI",(Datos!L14-Datos!V14)/Datos!V14,(Datos!L14+Datos!AB14-(Datos!V14+Datos!AJ14))/(Datos!V14+Datos!AJ14))," - ")</f>
        <v>0.65033407572383073</v>
      </c>
      <c r="F14" s="1153">
        <f>IF(ISNUMBER((Datos!M14-Datos!W14)/Datos!W14),(Datos!M14-Datos!W14)/Datos!W14," - ")</f>
        <v>-1.2658227848101266E-2</v>
      </c>
      <c r="G14" s="1154">
        <f>IF(ISNUMBER((Datos!N14-Datos!X14)/Datos!X14),(Datos!N14-Datos!X14)/Datos!X14," - ")</f>
        <v>-0.58974358974358976</v>
      </c>
      <c r="H14" s="1154">
        <f>IF(ISNUMBER(((NºAsuntos!G14/NºAsuntos!E14)-Datos!BD14)/Datos!BD14),((NºAsuntos!G14/NºAsuntos!E14)-Datos!BD14)/Datos!BD14," - ")</f>
        <v>0.37421383647798739</v>
      </c>
      <c r="I14" s="1154">
        <f>IF(ISNUMBER(((NºAsuntos!I14/NºAsuntos!G14)-Datos!BE14)/Datos!BE14),((NºAsuntos!I14/NºAsuntos!G14)-Datos!BE14)/Datos!BE14," - ")</f>
        <v>2.1806438550313834</v>
      </c>
      <c r="J14" s="1154">
        <f>IF(ISNUMBER((('Resol  Asuntos'!D14/NºAsuntos!G14)-Datos!BF14)/Datos!BF14),(('Resol  Asuntos'!D14/NºAsuntos!G14)-Datos!BF14)/Datos!BF14," - ")</f>
        <v>-3.6363636363636279E-2</v>
      </c>
      <c r="K14" s="1154">
        <f>IF(ISNUMBER((((NºAsuntos!C14+NºAsuntos!E14)/NºAsuntos!G14)-Datos!BG14)/Datos!BG14),(((NºAsuntos!C14+NºAsuntos!E14)/NºAsuntos!G14)-Datos!BG14)/Datos!BG14," - ")</f>
        <v>0.80509090909090897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0.61252446183953035</v>
      </c>
      <c r="C17" s="515">
        <f>IF(ISNUMBER(
   IF(D_I="SI",(Datos!J17-Datos!T17)/Datos!T17,(Datos!J17+Datos!AD17-(Datos!T17+Datos!AL17))/(Datos!T17+Datos!AL17))
     ),IF(D_I="SI",(Datos!J17-Datos!T17)/Datos!T17,(Datos!J17+Datos!AD17-(Datos!T17+Datos!AL17))/(Datos!T17+Datos!AL17))," - ")</f>
        <v>-3.1941031941031942E-2</v>
      </c>
      <c r="D17" s="515">
        <f>IF(ISNUMBER(
   IF(D_I="SI",(Datos!K17-Datos!U17)/Datos!U17,(Datos!K17+Datos!AE17-(Datos!U17+Datos!AM17))/(Datos!U17+Datos!AM17))
     ),IF(D_I="SI",(Datos!K17-Datos!U17)/Datos!U17,(Datos!K17+Datos!AE17-(Datos!U17+Datos!AM17))/(Datos!U17+Datos!AM17))," - ")</f>
        <v>0.13583815028901733</v>
      </c>
      <c r="E17" s="515">
        <f>IF(ISNUMBER(
   IF(D_I="SI",(Datos!L17-Datos!V17)/Datos!V17,(Datos!L17+Datos!AF17-(Datos!V17+Datos!AN17))/(Datos!V17+Datos!AN17))
     ),IF(D_I="SI",(Datos!L17-Datos!V17)/Datos!V17,(Datos!L17+Datos!AF17-(Datos!V17+Datos!AN17))/(Datos!V17+Datos!AN17))," - ")</f>
        <v>0.79738562091503273</v>
      </c>
      <c r="F17" s="515">
        <f>IF(ISNUMBER((Datos!M17-Datos!W17)/Datos!W17),(Datos!M17-Datos!W17)/Datos!W17," - ")</f>
        <v>0.35</v>
      </c>
      <c r="G17" s="516">
        <f>IF(ISNUMBER((Datos!N17-Datos!X17)/Datos!X17),(Datos!N17-Datos!X17)/Datos!X17," - ")</f>
        <v>-0.16666666666666666</v>
      </c>
      <c r="H17" s="514">
        <f>IF(ISNUMBER(((NºAsuntos!G17/NºAsuntos!E17)-Datos!BD17)/Datos!BD17),((NºAsuntos!G17/NºAsuntos!E17)-Datos!BD17)/Datos!BD17," - ")</f>
        <v>0.17331504357266514</v>
      </c>
      <c r="I17" s="515">
        <f>IF(ISNUMBER(((NºAsuntos!I17/NºAsuntos!G17)-Datos!BE17)/Datos!BE17),((NºAsuntos!I17/NºAsuntos!G17)-Datos!BE17)/Datos!BE17," - ")</f>
        <v>0.58243110645445628</v>
      </c>
      <c r="J17" s="521">
        <f>IF(ISNUMBER((('Resol  Asuntos'!D17/NºAsuntos!G17)-Datos!BF17)/Datos!BF17),(('Resol  Asuntos'!D17/NºAsuntos!G17)-Datos!BF17)/Datos!BF17," - ")</f>
        <v>0.18854961832061076</v>
      </c>
      <c r="K17" s="522">
        <f>IF(ISNUMBER((((NºAsuntos!C17+NºAsuntos!E17)/NºAsuntos!G17)-Datos!BG17)/Datos!BG17),(((NºAsuntos!C17+NºAsuntos!E17)/NºAsuntos!G17)-Datos!BG17)/Datos!BG17," - ")</f>
        <v>0.16812187131001685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0.34653465346534651</v>
      </c>
      <c r="C18" s="515">
        <f>IF(ISNUMBER(
   IF(D_I="SI",(Datos!J18-Datos!T18)/Datos!T18,(Datos!J18+Datos!AD18-(Datos!T18+Datos!AL18))/(Datos!T18+Datos!AL18))
     ),IF(D_I="SI",(Datos!J18-Datos!T18)/Datos!T18,(Datos!J18+Datos!AD18-(Datos!T18+Datos!AL18))/(Datos!T18+Datos!AL18))," - ")</f>
        <v>2.3809523809523808E-2</v>
      </c>
      <c r="D18" s="515">
        <f>IF(ISNUMBER(
   IF(D_I="SI",(Datos!K18-Datos!U18)/Datos!U18,(Datos!K18+Datos!AE18-(Datos!U18+Datos!AM18))/(Datos!U18+Datos!AM18))
     ),IF(D_I="SI",(Datos!K18-Datos!U18)/Datos!U18,(Datos!K18+Datos!AE18-(Datos!U18+Datos!AM18))/(Datos!U18+Datos!AM18))," - ")</f>
        <v>-0.59090909090909094</v>
      </c>
      <c r="E18" s="515">
        <f>IF(ISNUMBER(
   IF(D_I="SI",(Datos!L18-Datos!V18)/Datos!V18,(Datos!L18+Datos!AF18-(Datos!V18+Datos!AN18))/(Datos!V18+Datos!AN18))
     ),IF(D_I="SI",(Datos!L18-Datos!V18)/Datos!V18,(Datos!L18+Datos!AF18-(Datos!V18+Datos!AN18))/(Datos!V18+Datos!AN18))," - ")</f>
        <v>0.85057471264367812</v>
      </c>
      <c r="F18" s="515" t="str">
        <f>IF(ISNUMBER((Datos!M18-Datos!W18)/Datos!W18),(Datos!M18-Datos!W18)/Datos!W18," - ")</f>
        <v xml:space="preserve"> - </v>
      </c>
      <c r="G18" s="516">
        <f>IF(ISNUMBER((Datos!N18-Datos!X18)/Datos!X18),(Datos!N18-Datos!X18)/Datos!X18," - ")</f>
        <v>-0.1</v>
      </c>
      <c r="H18" s="514">
        <f>IF(ISNUMBER(((NºAsuntos!G18/NºAsuntos!E18)-Datos!BD18)/Datos!BD18),((NºAsuntos!G18/NºAsuntos!E18)-Datos!BD18)/Datos!BD18," - ")</f>
        <v>-0.60042283298097243</v>
      </c>
      <c r="I18" s="515">
        <f>IF(ISNUMBER(((NºAsuntos!I18/NºAsuntos!G18)-Datos!BE18)/Datos!BE18),((NºAsuntos!I18/NºAsuntos!G18)-Datos!BE18)/Datos!BE18," - ")</f>
        <v>3.5236270753512131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2.0598290598290601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0.56862745098039214</v>
      </c>
      <c r="C23" s="1152">
        <f>IF(ISNUMBER(
   IF(Criterios!B14="SI",(Datos!J23-Datos!T23)/Datos!T23,(Datos!J23+Datos!AD23-(Datos!T23+Datos!AL23))/(Datos!T23+Datos!AL23))
     ),IF(Criterios!B14="SI",(Datos!J23-Datos!T23)/Datos!T23,(Datos!J23+Datos!AD23-(Datos!T23+Datos!AL23))/(Datos!T23+Datos!AL23))," - ")</f>
        <v>-2.6726057906458798E-2</v>
      </c>
      <c r="D23" s="1152">
        <f>IF(ISNUMBER(
   IF(Criterios!B14="SI",(Datos!K23-Datos!U23)/Datos!U23,(Datos!K23+Datos!AE23-(Datos!U23+Datos!AM23))/(Datos!U23+Datos!AM23))
     ),IF(Criterios!B14="SI",(Datos!K23-Datos!U23)/Datos!U23,(Datos!K23+Datos!AE23-(Datos!U23+Datos!AM23))/(Datos!U23+Datos!AM23))," - ")</f>
        <v>5.3846153846153849E-2</v>
      </c>
      <c r="E23" s="1152">
        <f>IF(ISNUMBER(
   IF(Criterios!B14="SI",(Datos!L23-Datos!V23)/Datos!V23,(Datos!L23+Datos!AF23-(Datos!V23+Datos!AN23))/(Datos!V23+Datos!AN23))
     ),IF(Criterios!B14="SI",(Datos!L23-Datos!V23)/Datos!V23,(Datos!L23+Datos!AF23-(Datos!V23+Datos!AN23))/(Datos!V23+Datos!AN23))," - ")</f>
        <v>0.80586080586080588</v>
      </c>
      <c r="F23" s="1153">
        <f>IF(ISNUMBER((Datos!M23-Datos!W23)/Datos!W23),(Datos!M23-Datos!W23)/Datos!W23," - ")</f>
        <v>0.375</v>
      </c>
      <c r="G23" s="1154">
        <f>IF(ISNUMBER((Datos!N23-Datos!X23)/Datos!X23),(Datos!N23-Datos!X23)/Datos!X23," - ")</f>
        <v>-0.16071428571428573</v>
      </c>
      <c r="H23" s="1154">
        <f>IF(ISNUMBER(((NºAsuntos!G23/NºAsuntos!E23)-Datos!BD23)/Datos!BD23),((NºAsuntos!G23/NºAsuntos!E23)-Datos!BD23)/Datos!BD23," - ")</f>
        <v>8.2784720999823938E-2</v>
      </c>
      <c r="I23" s="1154">
        <f>IF(ISNUMBER(((NºAsuntos!I23/NºAsuntos!G23)-Datos!BE23)/Datos!BE23),((NºAsuntos!I23/NºAsuntos!G23)-Datos!BE23)/Datos!BE23," - ")</f>
        <v>0.71359054570733416</v>
      </c>
      <c r="J23" s="1154">
        <f>IF(ISNUMBER((('Resol  Asuntos'!D23/NºAsuntos!G23)-Datos!BF23)/Datos!BF23),(('Resol  Asuntos'!D23/NºAsuntos!G23)-Datos!BF23)/Datos!BF23," - ")</f>
        <v>0.30474452554744536</v>
      </c>
      <c r="K23" s="1154">
        <f>IF(ISNUMBER((((NºAsuntos!C23+NºAsuntos!E23)/NºAsuntos!G23)-Datos!BG23)/Datos!BG23),(((NºAsuntos!C23+NºAsuntos!E23)/NºAsuntos!G23)-Datos!BG23)/Datos!BG23," - ")</f>
        <v>0.24940663332347249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0.35733333333333334</v>
      </c>
      <c r="C31" s="1092">
        <f>IF(ISNUMBER(
   IF(J_V="SI",(Datos!J31-Datos!T31)/Datos!T31,(Datos!J31+Datos!Z31-(Datos!T31+Datos!AH31))/(Datos!T31+Datos!AH31))
     ),IF(J_V="SI",(Datos!J31-Datos!T31)/Datos!T31,(Datos!J31+Datos!Z31-(Datos!T31+Datos!AH31))/(Datos!T31+Datos!AH31))," - ")</f>
        <v>-0.32054176072234764</v>
      </c>
      <c r="D31" s="1092">
        <f>IF(ISNUMBER(
   IF(J_V="SI",(Datos!K31-Datos!U31)/Datos!U31,(Datos!K31+Datos!AA31-(Datos!U31+Datos!AI31))/(Datos!U31+Datos!AI31))
     ),IF(J_V="SI",(Datos!K31-Datos!U31)/Datos!U31,(Datos!K31+Datos!AA31-(Datos!U31+Datos!AI31))/(Datos!U31+Datos!AI31))," - ")</f>
        <v>-0.22481572481572482</v>
      </c>
      <c r="E31" s="1092">
        <f>IF(ISNUMBER(
   IF(J_V="SI",(Datos!L31-Datos!V31)/Datos!V31,(Datos!L31+Datos!AB31-(Datos!V31+Datos!AJ31))/(Datos!V31+Datos!AJ31))
     ),IF(J_V="SI",(Datos!L31-Datos!V31)/Datos!V31,(Datos!L31+Datos!AB31-(Datos!V31+Datos!AJ31))/(Datos!V31+Datos!AJ31))," - ")</f>
        <v>0.70914127423822715</v>
      </c>
      <c r="F31" s="1093">
        <f>IF(ISNUMBER((Datos!M31-Datos!W31)/Datos!W31),(Datos!M31-Datos!W31)/Datos!W31," - ")</f>
        <v>0.11764705882352941</v>
      </c>
      <c r="G31" s="1094">
        <f>IF(ISNUMBER((Datos!N31-Datos!X31)/Datos!X31),(Datos!N31-Datos!X31)/Datos!X31," - ")</f>
        <v>-0.33684210526315789</v>
      </c>
      <c r="H31" s="1095">
        <f>IF(ISNUMBER((Tasas!B31-Datos!BD31)/Datos!BD31),(Tasas!B31-Datos!BD31)/Datos!BD31," - ")</f>
        <v>0.1408858269323385</v>
      </c>
      <c r="I31" s="1096">
        <f>IF(ISNUMBER((Tasas!C31-Datos!BE31)/Datos!BE31),(Tasas!C31-Datos!BE31)/Datos!BE31," - ")</f>
        <v>1.2048193299998682</v>
      </c>
      <c r="J31" s="1097">
        <f>IF(ISNUMBER((Tasas!D31-Datos!BF31)/Datos!BF31),(Tasas!D31-Datos!BF31)/Datos!BF31," - ")</f>
        <v>-0.12463210323749147</v>
      </c>
      <c r="K31" s="1097">
        <f>IF(ISNUMBER((Tasas!E31-Datos!BG31)/Datos!BG31),(Tasas!E31-Datos!BG31)/Datos!BG31," - ")</f>
        <v>0.42626228275611966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vT/G4p2xD35NURrOrtELx1EFS5jqGfTLBNt/QZYjoR2ODqsQ8HyoxRApjAYSFIihuXpb94ROR3boo7eIg7C9w==" saltValue="Fela1SGJzjqyghGMRSC3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MIRANDA DE EBRO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1.3414634146341464</v>
      </c>
      <c r="C12" s="498">
        <f>IF(ISNUMBER(NºAsuntos!I12/NºAsuntos!G12),NºAsuntos!I12/NºAsuntos!G12," - ")</f>
        <v>6.7045454545454541</v>
      </c>
      <c r="D12" s="499">
        <f>IF(ISNUMBER('Resol  Asuntos'!D12/NºAsuntos!G12),'Resol  Asuntos'!D12/NºAsuntos!G12," - ")</f>
        <v>0.35454545454545455</v>
      </c>
      <c r="E12" s="500">
        <f>IF(ISNUMBER((NºAsuntos!C12+NºAsuntos!E12)/NºAsuntos!G12),(NºAsuntos!C12+NºAsuntos!E12)/NºAsuntos!G12," - ")</f>
        <v>5.6090909090909093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1.3333333333333333</v>
      </c>
      <c r="C14" s="1156">
        <f>IF(ISNUMBER(NºAsuntos!I14/NºAsuntos!G14),NºAsuntos!I14/NºAsuntos!G14," - ")</f>
        <v>6.7363636363636363</v>
      </c>
      <c r="D14" s="1157">
        <f>IF(ISNUMBER('Resol  Asuntos'!D14/NºAsuntos!G14),'Resol  Asuntos'!D14/NºAsuntos!G14," - ")</f>
        <v>0.35454545454545455</v>
      </c>
      <c r="E14" s="1158">
        <f>IF(ISNUMBER((NºAsuntos!C14+NºAsuntos!E14)/NºAsuntos!G14),(NºAsuntos!C14+NºAsuntos!E14)/NºAsuntos!G14," - ")</f>
        <v>5.6409090909090907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0.9974619289340102</v>
      </c>
      <c r="C17" s="498">
        <f>IF(ISNUMBER(NºAsuntos!I17/NºAsuntos!G17),NºAsuntos!I17/NºAsuntos!G17," - ")</f>
        <v>2.0992366412213741</v>
      </c>
      <c r="D17" s="499">
        <f>IF(ISNUMBER('Resol  Asuntos'!D17/NºAsuntos!G17),'Resol  Asuntos'!D17/NºAsuntos!G17," - ")</f>
        <v>0.13740458015267176</v>
      </c>
      <c r="E17" s="500">
        <f>IF(ISNUMBER((NºAsuntos!C17+NºAsuntos!E17)/NºAsuntos!G17),(NºAsuntos!C17+NºAsuntos!E17)/NºAsuntos!G17," - ")</f>
        <v>3.0992366412213741</v>
      </c>
      <c r="G17" s="523"/>
    </row>
    <row r="18" spans="1:7">
      <c r="A18" s="450" t="str">
        <f>Datos!A18</f>
        <v>Jdos. Violencia contra la mujer</v>
      </c>
      <c r="B18" s="497">
        <f>IF(ISNUMBER(NºAsuntos!G18/NºAsuntos!E18),NºAsuntos!G18/NºAsuntos!E18," - ")</f>
        <v>0.41860465116279072</v>
      </c>
      <c r="C18" s="498">
        <f>IF(ISNUMBER(NºAsuntos!I18/NºAsuntos!G18),NºAsuntos!I18/NºAsuntos!G18," - ")</f>
        <v>8.9444444444444446</v>
      </c>
      <c r="D18" s="499">
        <f>IF(ISNUMBER('Resol  Asuntos'!D18/NºAsuntos!G18),'Resol  Asuntos'!D18/NºAsuntos!G18," - ")</f>
        <v>5.5555555555555552E-2</v>
      </c>
      <c r="E18" s="500">
        <f>IF(ISNUMBER((NºAsuntos!C18+NºAsuntos!E18)/NºAsuntos!G18),(NºAsuntos!C18+NºAsuntos!E18)/NºAsuntos!G18," - ")</f>
        <v>9.9444444444444446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0.94050343249427915</v>
      </c>
      <c r="C23" s="1156">
        <f>IF(ISNUMBER(NºAsuntos!I23/NºAsuntos!G23),NºAsuntos!I23/NºAsuntos!G23," - ")</f>
        <v>2.3990267639902676</v>
      </c>
      <c r="D23" s="1159">
        <f>IF(ISNUMBER('Resol  Asuntos'!D23/NºAsuntos!G23),'Resol  Asuntos'!D23/NºAsuntos!G23," - ")</f>
        <v>0.13381995133819952</v>
      </c>
      <c r="E23" s="1158">
        <f>IF(ISNUMBER((NºAsuntos!C23+NºAsuntos!E23)/NºAsuntos!G23),(NºAsuntos!C23+NºAsuntos!E23)/NºAsuntos!G23," - ")</f>
        <v>3.3990267639902676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1.048172757475083</v>
      </c>
      <c r="C31" s="1099">
        <f>IF(ISNUMBER(NºAsuntos!I31/NºAsuntos!G31),NºAsuntos!I31/NºAsuntos!G31," - ")</f>
        <v>3.9112519809825672</v>
      </c>
      <c r="D31" s="1100">
        <f>IF(ISNUMBER('Resol  Asuntos'!D31/NºAsuntos!G31),'Resol  Asuntos'!D31/NºAsuntos!G31," - ")</f>
        <v>0.21077654516640254</v>
      </c>
      <c r="E31" s="1101">
        <f>IF(ISNUMBER((NºAsuntos!C31+NºAsuntos!E31)/NºAsuntos!G31),(NºAsuntos!C31+NºAsuntos!E31)/NºAsuntos!G31," - ")</f>
        <v>4.1806656101426309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ATRGdpFAj1UJn7hhIhcrhRCkpgJQJThC2d7Sbu6E43q4fIfOTd2c3aJFPo9SykpHUlMh9NCYnp1up/59j1oDw==" saltValue="dzyiDkeC5MUIVFRuKKx2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MIRANDA DE EBRO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1.3414634146341464</v>
      </c>
      <c r="AM12" s="284">
        <f>IF(ISNUMBER(((NºAsuntos!I12/NºAsuntos!G12)*11)/factor_trimestre),((NºAsuntos!I12/NºAsuntos!G12)*11)/factor_trimestre," - ")</f>
        <v>20.113636363636363</v>
      </c>
      <c r="AN12" s="267">
        <f>IF(ISNUMBER('Resol  Asuntos'!D12/NºAsuntos!G12),'Resol  Asuntos'!D12/NºAsuntos!G12," - ")</f>
        <v>0.35454545454545455</v>
      </c>
      <c r="AO12" s="268">
        <f>IF(ISNUMBER((NºAsuntos!C12+NºAsuntos!E12)/NºAsuntos!G12),(NºAsuntos!C12+NºAsuntos!E12)/NºAsuntos!G12," - ")</f>
        <v>5.6090909090909093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20</v>
      </c>
      <c r="Y14" s="1165">
        <f t="shared" si="6"/>
        <v>20</v>
      </c>
      <c r="Z14" s="1165">
        <f t="shared" si="6"/>
        <v>0</v>
      </c>
      <c r="AA14" s="1165">
        <f t="shared" si="6"/>
        <v>7</v>
      </c>
      <c r="AB14" s="1165">
        <f t="shared" si="6"/>
        <v>1723</v>
      </c>
      <c r="AC14" s="1165">
        <f t="shared" si="6"/>
        <v>8</v>
      </c>
      <c r="AD14" s="1165">
        <f t="shared" si="6"/>
        <v>0</v>
      </c>
      <c r="AE14" s="1169">
        <f t="shared" si="6"/>
        <v>0</v>
      </c>
      <c r="AF14" s="1162">
        <f t="shared" si="6"/>
        <v>0</v>
      </c>
      <c r="AG14" s="1170">
        <f t="shared" si="6"/>
        <v>0</v>
      </c>
      <c r="AH14" s="1167">
        <f t="shared" si="6"/>
        <v>0</v>
      </c>
      <c r="AI14" s="1162">
        <f t="shared" si="6"/>
        <v>78</v>
      </c>
      <c r="AJ14" s="1164">
        <f t="shared" si="6"/>
        <v>0</v>
      </c>
      <c r="AK14" s="1167">
        <f>SUBTOTAL(9,AK9:AK13)</f>
        <v>0</v>
      </c>
      <c r="AL14" s="1171">
        <f>IF(ISNUMBER(NºAsuntos!G14/NºAsuntos!E14),NºAsuntos!G14/NºAsuntos!E14," - ")</f>
        <v>1.3333333333333333</v>
      </c>
      <c r="AM14" s="1171">
        <f>IF(ISNUMBER(((NºAsuntos!I14/NºAsuntos!G14)*11)/factor_trimestre),((NºAsuntos!I14/NºAsuntos!G14)*11)/factor_trimestre," - ")</f>
        <v>20.209090909090907</v>
      </c>
      <c r="AN14" s="1172">
        <f>IF(ISNUMBER('Resol  Asuntos'!D14/NºAsuntos!G14),'Resol  Asuntos'!D14/NºAsuntos!G14," - ")</f>
        <v>0.35454545454545455</v>
      </c>
      <c r="AO14" s="1173">
        <f>IF(ISNUMBER((NºAsuntos!C14+NºAsuntos!E14)/NºAsuntos!G14),(NºAsuntos!C14+NºAsuntos!E14)/NºAsuntos!G14," - ")</f>
        <v>5.6409090909090907</v>
      </c>
      <c r="AP14" s="1174" t="str">
        <f t="shared" si="2"/>
        <v xml:space="preserve"> - </v>
      </c>
      <c r="AQ14" s="1174">
        <f>IF(ISNUMBER((H14-W14+K14)/(F14)),(H14-W14+K14)/(F14)," - ")</f>
        <v>0</v>
      </c>
      <c r="AR14" s="1175">
        <f>IF(ISNUMBER((Datos!P14-Datos!Q14)/(Datos!R14-Datos!P14+Datos!Q14)),(Datos!P14-Datos!Q14)/(Datos!R14-Datos!P14+Datos!Q14)," - ")</f>
        <v>1.4125956444967627E-2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824</v>
      </c>
      <c r="G17" s="373">
        <f>IF(ISNUMBER(IF(D_I="SI",Datos!I17,Datos!I17+Datos!AC17)),IF(D_I="SI",Datos!I17,Datos!I17+Datos!AC17)," - ")</f>
        <v>824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393</v>
      </c>
      <c r="X17" s="240">
        <f>IF(ISNUMBER(Datos!Q17),Datos!Q17," - ")</f>
        <v>0</v>
      </c>
      <c r="Y17" s="374">
        <f t="shared" ref="Y17:Y22" si="9">SUM(W17:X17)</f>
        <v>393</v>
      </c>
      <c r="Z17" s="375" t="str">
        <f>IF(ISNUMBER(Datos!CC17),Datos!CC17," - ")</f>
        <v xml:space="preserve"> - </v>
      </c>
      <c r="AA17" s="372">
        <f>IF(ISNUMBER(IF(D_I="SI",Datos!L17,Datos!L17+Datos!AF17)),IF(D_I="SI",Datos!L17,Datos!L17+Datos!AF17)," - ")</f>
        <v>825</v>
      </c>
      <c r="AB17" s="374">
        <f>IF(ISNUMBER(Datos!R17),Datos!R17," - ")</f>
        <v>64</v>
      </c>
      <c r="AC17" s="374">
        <f t="shared" si="8"/>
        <v>889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0.9974619289340102</v>
      </c>
      <c r="AM17" s="284">
        <f>IF(ISNUMBER(((NºAsuntos!I17/NºAsuntos!G17)*11)/factor_trimestre),((NºAsuntos!I17/NºAsuntos!G17)*11)/factor_trimestre," - ")</f>
        <v>6.2977099236641223</v>
      </c>
      <c r="AN17" s="267">
        <f>IF(ISNUMBER('Resol  Asuntos'!D17/NºAsuntos!G17),'Resol  Asuntos'!D17/NºAsuntos!G17," - ")</f>
        <v>0.13740458015267176</v>
      </c>
      <c r="AO17" s="268">
        <f>IF(ISNUMBER((NºAsuntos!C17+NºAsuntos!E17)/NºAsuntos!G17),(NºAsuntos!C17+NºAsuntos!E17)/NºAsuntos!G17," - ")</f>
        <v>3.0992366412213741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161</v>
      </c>
      <c r="AB18" s="374">
        <f>IF(ISNUMBER(Datos!R18),Datos!R18," - ")</f>
        <v>0</v>
      </c>
      <c r="AC18" s="374">
        <f t="shared" si="8"/>
        <v>161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0.41860465116279072</v>
      </c>
      <c r="AM18" s="284">
        <f>IF(ISNUMBER(((NºAsuntos!I18/NºAsuntos!G18)*11)/factor_trimestre),((NºAsuntos!I18/NºAsuntos!G18)*11)/factor_trimestre," - ")</f>
        <v>26.833333333333332</v>
      </c>
      <c r="AN18" s="267">
        <f>IF(ISNUMBER('Resol  Asuntos'!D18/NºAsuntos!G18),'Resol  Asuntos'!D18/NºAsuntos!G18," - ")</f>
        <v>5.5555555555555552E-2</v>
      </c>
      <c r="AO18" s="268">
        <f>IF(ISNUMBER((NºAsuntos!C18+NºAsuntos!E18)/NºAsuntos!G18),(NºAsuntos!C18+NºAsuntos!E18)/NºAsuntos!G18," - ")</f>
        <v>9.9444444444444446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824</v>
      </c>
      <c r="G23" s="1163">
        <f>SUBTOTAL(9,G16:G22)</f>
        <v>960</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411</v>
      </c>
      <c r="X23" s="1164">
        <f t="shared" si="14"/>
        <v>0</v>
      </c>
      <c r="Y23" s="1165">
        <f t="shared" si="14"/>
        <v>411</v>
      </c>
      <c r="Z23" s="1165">
        <f t="shared" si="14"/>
        <v>0</v>
      </c>
      <c r="AA23" s="1165">
        <f t="shared" si="14"/>
        <v>986</v>
      </c>
      <c r="AB23" s="1165">
        <f t="shared" si="14"/>
        <v>64</v>
      </c>
      <c r="AC23" s="1165">
        <f t="shared" si="14"/>
        <v>1050</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0.94050343249427915</v>
      </c>
      <c r="AM23" s="1171">
        <f>IF(ISNUMBER(((NºAsuntos!I23/NºAsuntos!G23)*11)/factor_trimestre),((NºAsuntos!I23/NºAsuntos!G23)*11)/factor_trimestre," - ")</f>
        <v>7.1970802919708028</v>
      </c>
      <c r="AN23" s="1172">
        <f>IF(ISNUMBER('Resol  Asuntos'!D23/NºAsuntos!G23),'Resol  Asuntos'!D23/NºAsuntos!G23," - ")</f>
        <v>0.13381995133819952</v>
      </c>
      <c r="AO23" s="1173">
        <f>IF(ISNUMBER((NºAsuntos!C23+NºAsuntos!E23)/NºAsuntos!G23),(NºAsuntos!C23+NºAsuntos!E23)/NºAsuntos!G23," - ")</f>
        <v>3.3990267639902676</v>
      </c>
      <c r="AP23" s="1174" t="str">
        <f t="shared" si="2"/>
        <v xml:space="preserve"> - </v>
      </c>
      <c r="AQ23" s="1174">
        <f>IF(ISNUMBER((H23-W23+K23)/(F23)),(H23-W23+K23)/(F23)," - ")</f>
        <v>-0.49878640776699029</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830</v>
      </c>
      <c r="G31" s="1118">
        <f t="shared" si="20"/>
        <v>966</v>
      </c>
      <c r="H31" s="1117">
        <f t="shared" si="20"/>
        <v>0</v>
      </c>
      <c r="I31" s="1119">
        <f t="shared" si="20"/>
        <v>0</v>
      </c>
      <c r="J31" s="1119">
        <f t="shared" si="20"/>
        <v>0</v>
      </c>
      <c r="K31" s="1180">
        <f t="shared" si="20"/>
        <v>0</v>
      </c>
      <c r="L31" s="1119">
        <f t="shared" si="20"/>
        <v>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411</v>
      </c>
      <c r="X31" s="1118">
        <f t="shared" si="21"/>
        <v>20</v>
      </c>
      <c r="Y31" s="1125">
        <f t="shared" si="21"/>
        <v>431</v>
      </c>
      <c r="Z31" s="1125">
        <f t="shared" si="21"/>
        <v>0</v>
      </c>
      <c r="AA31" s="1125">
        <f t="shared" si="21"/>
        <v>993</v>
      </c>
      <c r="AB31" s="1125">
        <f t="shared" si="21"/>
        <v>1787</v>
      </c>
      <c r="AC31" s="1125">
        <f t="shared" si="21"/>
        <v>1058</v>
      </c>
      <c r="AD31" s="1125">
        <f t="shared" si="21"/>
        <v>0</v>
      </c>
      <c r="AE31" s="1127">
        <f t="shared" si="21"/>
        <v>0</v>
      </c>
      <c r="AF31" s="1128">
        <f t="shared" si="21"/>
        <v>0</v>
      </c>
      <c r="AG31" s="1129">
        <f t="shared" si="21"/>
        <v>0</v>
      </c>
      <c r="AH31" s="1127">
        <f t="shared" si="21"/>
        <v>0</v>
      </c>
      <c r="AI31" s="1117">
        <f t="shared" si="21"/>
        <v>133</v>
      </c>
      <c r="AJ31" s="1117">
        <f t="shared" si="21"/>
        <v>0</v>
      </c>
      <c r="AK31" s="1127">
        <f t="shared" si="21"/>
        <v>0</v>
      </c>
      <c r="AL31" s="1183">
        <f>IF(ISNUMBER(NºAsuntos!G31/NºAsuntos!E31),NºAsuntos!G31/NºAsuntos!E31," - ")</f>
        <v>1.048172757475083</v>
      </c>
      <c r="AM31" s="1184">
        <f>IF(ISNUMBER(((NºAsuntos!I31/NºAsuntos!G31)*11)/factor_trimestre),((NºAsuntos!I31/NºAsuntos!G31)*11)/factor_trimestre," - ")</f>
        <v>11.733755942947703</v>
      </c>
      <c r="AN31" s="1184">
        <f>IF(ISNUMBER('Resol  Asuntos'!D31/NºAsuntos!G31),'Resol  Asuntos'!D31/NºAsuntos!G31," - ")</f>
        <v>0.21077654516640254</v>
      </c>
      <c r="AO31" s="1185">
        <f>IF(ISNUMBER((NºAsuntos!C31+NºAsuntos!E31)/NºAsuntos!G31),(NºAsuntos!C31+NºAsuntos!E31)/NºAsuntos!G31," - ")</f>
        <v>4.1806656101426309</v>
      </c>
      <c r="AP31" s="1186" t="str">
        <f t="shared" si="2"/>
        <v xml:space="preserve"> - </v>
      </c>
      <c r="AQ31" s="1187">
        <f>IF(OR(ISNUMBER(FIND("01",Criterios!A8,1)),ISNUMBER(FIND("02",Criterios!A8,1)),ISNUMBER(FIND("03",Criterios!A8,1)),ISNUMBER(FIND("04",Criterios!A8,1))),(I31-W31+K31)/(F31-K31),(H31-W31+K31)/(F31-K31))</f>
        <v>-0.49518072289156628</v>
      </c>
      <c r="AR31" s="1188">
        <f>IF(ISNUMBER((Datos!P31-Datos!Q31)/(Datos!R31-Datos!P31+Datos!Q31)),(Datos!P31-Datos!Q31)/(Datos!R31-Datos!P31+Datos!Q31)," - ")</f>
        <v>1.5918135304150087E-2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423.97106819530347</v>
      </c>
      <c r="G33" s="277">
        <f>IF(ISNUMBER(STDEV(G8:G30)),STDEV(G8:G30),"-")</f>
        <v>425.42371035631447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194.57976697047852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36.381902879630374</v>
      </c>
      <c r="AJ33" s="276">
        <f t="shared" si="25"/>
        <v>0</v>
      </c>
      <c r="AK33" s="278">
        <f t="shared" si="25"/>
        <v>0</v>
      </c>
      <c r="AL33" s="273">
        <f t="shared" si="25"/>
        <v>0.53158257136318743</v>
      </c>
      <c r="AM33" s="274">
        <f t="shared" si="25"/>
        <v>8.9936181300587865</v>
      </c>
      <c r="AN33" s="274">
        <f t="shared" si="25"/>
        <v>0.13844983958653681</v>
      </c>
      <c r="AO33" s="275">
        <f t="shared" si="25"/>
        <v>2.7365657583145899</v>
      </c>
      <c r="AP33" s="317" t="str">
        <f t="shared" si="25"/>
        <v>-</v>
      </c>
      <c r="AQ33" s="318">
        <f t="shared" si="25"/>
        <v>0.35269525129571727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amENNo8py8jAe36UN+XO9LTcQy69DaSv4hMNl0AX7S4akU5XprXnlDeyt+cCEcZux64IprlD94EaiuMqtHJrw==" saltValue="5NFS23CIQOKn7OJoqcqI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MIRANDA DE EBRO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-0.53846153846153844</v>
      </c>
      <c r="E10" s="393">
        <f>IF(ISNUMBER((Datos!J10-Datos!T10)/Datos!T10),(Datos!J10-Datos!T10)/Datos!T10," - ")</f>
        <v>-0.5</v>
      </c>
      <c r="F10" s="393" t="str">
        <f>IF(ISNUMBER((Datos!K10-Datos!U10)/Datos!U10),(Datos!K10-Datos!U10)/Datos!U10," - ")</f>
        <v xml:space="preserve"> - </v>
      </c>
      <c r="G10" s="394">
        <f>IF(ISNUMBER((Datos!L10-Datos!V10)/Datos!V10),(Datos!L10-Datos!V10)/Datos!V10," - ")</f>
        <v>2.5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-1.2658227848101266E-2</v>
      </c>
      <c r="I12" s="395">
        <f>IF(ISNUMBER((Tasas!C12-Datos!BE12)/Datos!BE12),(Tasas!C12-Datos!BE12)/Datos!BE12," - ")</f>
        <v>2.1726866883116878</v>
      </c>
      <c r="J12" s="394">
        <f>IF(ISNUMBER((Tasas!D12-Datos!BF12)/Datos!BF12),(Tasas!D12-Datos!BF12)/Datos!BF12," - ")</f>
        <v>-3.6363636363636279E-2</v>
      </c>
      <c r="K12" s="396">
        <f>IF(ISNUMBER((Tasas!E12-Datos!BG12)/Datos!BG12),(Tasas!E12-Datos!BG12)/Datos!BG12," - ")</f>
        <v>0.81546148507980587</v>
      </c>
      <c r="M12" t="e">
        <f>IF(Monitorios="SI",Datos!CE12,0)</f>
        <v>#REF!</v>
      </c>
      <c r="N12" t="e">
        <f>IF(Monitorios="SI",Datos!CF12,0)</f>
        <v>#REF!</v>
      </c>
      <c r="O12" t="e">
        <f>IF(Monitorios="SI",Datos!CG12,0)</f>
        <v>#REF!</v>
      </c>
      <c r="P12" t="e">
        <f>IF(Monitorios="SI",Datos!CH12,0)</f>
        <v>#REF!</v>
      </c>
      <c r="Q12">
        <f>IF(J_V="SI",0,Datos!AG12)</f>
        <v>32</v>
      </c>
      <c r="R12">
        <f>IF(J_V="SI",0,Datos!AH12)</f>
        <v>34</v>
      </c>
      <c r="S12">
        <f>IF(J_V="SI",0,Datos!AI12)</f>
        <v>23</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-1.2658227848101266E-2</v>
      </c>
      <c r="I14" s="402">
        <f>IF(ISNUMBER((Tasas!C14-Datos!BE14)/Datos!BE14),(Tasas!C14-Datos!BE14)/Datos!BE14," - ")</f>
        <v>2.1806438550313834</v>
      </c>
      <c r="J14" s="400">
        <f>IF(ISNUMBER((Tasas!D14-Datos!BF14)/Datos!BF14),(Tasas!D14-Datos!BF14)/Datos!BF14," - ")</f>
        <v>-3.6363636363636279E-2</v>
      </c>
      <c r="K14" s="403">
        <f>IF(ISNUMBER((Tasas!E14-Datos!BG14)/Datos!BG14),(Tasas!E14-Datos!BG14)/Datos!BG14," - ")</f>
        <v>0.80509090909090897</v>
      </c>
      <c r="M14" t="e">
        <f>IF(Monitorios="SI",Datos!CE14,0)</f>
        <v>#REF!</v>
      </c>
      <c r="N14" t="e">
        <f>IF(Monitorios="SI",Datos!CF14,0)</f>
        <v>#REF!</v>
      </c>
      <c r="O14" t="e">
        <f>IF(Monitorios="SI",Datos!CG14,0)</f>
        <v>#REF!</v>
      </c>
      <c r="P14" t="e">
        <f>IF(Monitorios="SI",Datos!CH14,0)</f>
        <v>#REF!</v>
      </c>
      <c r="Q14">
        <f>IF(J_V="SI",0,Datos!AG14)</f>
        <v>32</v>
      </c>
      <c r="R14">
        <f>IF(J_V="SI",0,Datos!AH14)</f>
        <v>34</v>
      </c>
      <c r="S14">
        <f>IF(J_V="SI",0,Datos!AI14)</f>
        <v>23</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0.61252446183953035</v>
      </c>
      <c r="E17" s="393">
        <f>IF(ISNUMBER(
   IF(D_I="SI",(Datos!J17-Datos!T17)/Datos!T17,(Datos!J17+Datos!AD17-(Datos!T17+Datos!AL17))/(Datos!T17+Datos!AL17))
     ),IF(D_I="SI",(Datos!J17-Datos!T17)/Datos!T17,(Datos!J17+Datos!AD17-(Datos!T17+Datos!AL17))/(Datos!T17+Datos!AL17))," - ")</f>
        <v>-3.1941031941031942E-2</v>
      </c>
      <c r="F17" s="393">
        <f>IF(ISNUMBER(
   IF(D_I="SI",(Datos!K17-Datos!U17)/Datos!U17,(Datos!K17+Datos!AE17-(Datos!U17+Datos!AM17))/(Datos!U17+Datos!AM17))
     ),IF(D_I="SI",(Datos!K17-Datos!U17)/Datos!U17,(Datos!K17+Datos!AE17-(Datos!U17+Datos!AM17))/(Datos!U17+Datos!AM17))," - ")</f>
        <v>0.13583815028901733</v>
      </c>
      <c r="G17" s="394">
        <f>IF(ISNUMBER(
   IF(D_I="SI",(Datos!L17-Datos!V17)/Datos!V17,(Datos!L17+Datos!AF17-(Datos!V17+Datos!AN17))/(Datos!V17+Datos!AN17))
     ),IF(D_I="SI",(Datos!L17-Datos!V17)/Datos!V17,(Datos!L17+Datos!AF17-(Datos!V17+Datos!AN17))/(Datos!V17+Datos!AN17))," - ")</f>
        <v>0.79738562091503273</v>
      </c>
      <c r="H17" s="244">
        <f>IF(ISNUMBER((Datos!M17-Datos!W17)/Datos!W17),(Datos!M17-Datos!W17)/Datos!W17," - ")</f>
        <v>0.35</v>
      </c>
      <c r="I17" s="395">
        <f>IF(ISNUMBER((Tasas!C17-Datos!BE17)/Datos!BE17),(Tasas!C17-Datos!BE17)/Datos!BE17," - ")</f>
        <v>0.58243110645445628</v>
      </c>
      <c r="J17" s="394">
        <f>IF(ISNUMBER((Tasas!D17-Datos!BF17)/Datos!BF17),(Tasas!D17-Datos!BF17)/Datos!BF17," - ")</f>
        <v>0.18854961832061076</v>
      </c>
      <c r="K17" s="396">
        <f>IF(ISNUMBER((Tasas!E17-Datos!BG17)/Datos!BG17),(Tasas!E17-Datos!BG17)/Datos!BG17," - ")</f>
        <v>0.16812187131001685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0.34653465346534651</v>
      </c>
      <c r="E18" s="393">
        <f>IF(ISNUMBER(
   IF(D_I="SI",(Datos!J18-Datos!T18)/Datos!T18,(Datos!J18+Datos!AD18-(Datos!T18+Datos!AL18))/(Datos!T18+Datos!AL18))
     ),IF(D_I="SI",(Datos!J18-Datos!T18)/Datos!T18,(Datos!J18+Datos!AD18-(Datos!T18+Datos!AL18))/(Datos!T18+Datos!AL18))," - ")</f>
        <v>2.3809523809523808E-2</v>
      </c>
      <c r="F18" s="393">
        <f>IF(ISNUMBER(
   IF(D_I="SI",(Datos!K18-Datos!U18)/Datos!U18,(Datos!K18+Datos!AE18-(Datos!U18+Datos!AM18))/(Datos!U18+Datos!AM18))
     ),IF(D_I="SI",(Datos!K18-Datos!U18)/Datos!U18,(Datos!K18+Datos!AE18-(Datos!U18+Datos!AM18))/(Datos!U18+Datos!AM18))," - ")</f>
        <v>-0.59090909090909094</v>
      </c>
      <c r="G18" s="394">
        <f>IF(ISNUMBER(
   IF(D_I="SI",(Datos!L18-Datos!V18)/Datos!V18,(Datos!L18+Datos!AF18-(Datos!V18+Datos!AN18))/(Datos!V18+Datos!AN18))
     ),IF(D_I="SI",(Datos!L18-Datos!V18)/Datos!V18,(Datos!L18+Datos!AF18-(Datos!V18+Datos!AN18))/(Datos!V18+Datos!AN18))," - ")</f>
        <v>0.85057471264367812</v>
      </c>
      <c r="H18" s="244" t="str">
        <f>IF(ISNUMBER((Datos!M18-Datos!W18)/Datos!W18),(Datos!M18-Datos!W18)/Datos!W18," - ")</f>
        <v xml:space="preserve"> - </v>
      </c>
      <c r="I18" s="395">
        <f>IF(ISNUMBER((Tasas!C18-Datos!BE18)/Datos!BE18),(Tasas!C18-Datos!BE18)/Datos!BE18," - ")</f>
        <v>3.5236270753512131</v>
      </c>
      <c r="J18" s="394" t="str">
        <f>IF(ISNUMBER((Tasas!D18-Datos!BF18)/Datos!BF18),(Tasas!D18-Datos!BF18)/Datos!BF18," - ")</f>
        <v xml:space="preserve"> - </v>
      </c>
      <c r="K18" s="396">
        <f>IF(ISNUMBER((Tasas!E18-Datos!BG18)/Datos!BG18),(Tasas!E18-Datos!BG18)/Datos!BG18," - ")</f>
        <v>2.0598290598290601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0.56862745098039214</v>
      </c>
      <c r="E23" s="399">
        <f>IF(ISNUMBER(
   IF(D_I="SI",(Datos!J23-Datos!T23)/Datos!T23,(Datos!J23+Datos!AD23-(Datos!T23+Datos!AL23))/(Datos!T23+Datos!AL23))
     ),IF(D_I="SI",(Datos!J23-Datos!T23)/Datos!T23,(Datos!J23+Datos!AD23-(Datos!T23+Datos!AL23))/(Datos!T23+Datos!AL23))," - ")</f>
        <v>-2.6726057906458798E-2</v>
      </c>
      <c r="F23" s="399">
        <f>IF(ISNUMBER(
   IF(D_I="SI",(Datos!K23-Datos!U23)/Datos!U23,(Datos!K23+Datos!AE23-(Datos!U23+Datos!AM23))/(Datos!U23+Datos!AM23))
     ),IF(D_I="SI",(Datos!K23-Datos!U23)/Datos!U23,(Datos!K23+Datos!AE23-(Datos!U23+Datos!AM23))/(Datos!U23+Datos!AM23))," - ")</f>
        <v>5.3846153846153849E-2</v>
      </c>
      <c r="G23" s="400">
        <f>IF(ISNUMBER(
   IF(D_I="SI",(Datos!L23-Datos!V23)/Datos!V23,(Datos!L23+Datos!AF23-(Datos!V23+Datos!AN23))/(Datos!V23+Datos!AN23))
     ),IF(D_I="SI",(Datos!L23-Datos!V23)/Datos!V23,(Datos!L23+Datos!AF23-(Datos!V23+Datos!AN23))/(Datos!V23+Datos!AN23))," - ")</f>
        <v>0.80586080586080588</v>
      </c>
      <c r="H23" s="401">
        <f>IF(ISNUMBER((Datos!M23-Datos!W23)/Datos!W23),(Datos!M23-Datos!W23)/Datos!W23," - ")</f>
        <v>0.375</v>
      </c>
      <c r="I23" s="402">
        <f>IF(ISNUMBER((Tasas!C23-Datos!BE23)/Datos!BE23),(Tasas!C23-Datos!BE23)/Datos!BE23," - ")</f>
        <v>0.71359054570733416</v>
      </c>
      <c r="J23" s="400">
        <f>IF(ISNUMBER((Tasas!D23-Datos!BF23)/Datos!BF23),(Tasas!D23-Datos!BF23)/Datos!BF23," - ")</f>
        <v>0.30474452554744536</v>
      </c>
      <c r="K23" s="403">
        <f>IF(ISNUMBER((Tasas!E23-Datos!BG23)/Datos!BG23),(Tasas!E23-Datos!BG23)/Datos!BG23," - ")</f>
        <v>0.24940663332347249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0.35733333333333334</v>
      </c>
      <c r="E31" s="409">
        <f>IF(ISNUMBER(
   IF(J_V="SI",(Datos!J31-Datos!T31)/Datos!T31,(Datos!J31+Datos!Z31-(Datos!T31+Datos!AH31))/(Datos!T31+Datos!AH31))
     ),IF(J_V="SI",(Datos!J31-Datos!T31)/Datos!T31,(Datos!J31+Datos!Z31-(Datos!T31+Datos!AH31))/(Datos!T31+Datos!AH31))," - ")</f>
        <v>-0.32054176072234764</v>
      </c>
      <c r="F31" s="409">
        <f>IF(ISNUMBER(
   IF(J_V="SI",(Datos!K31-Datos!U31)/Datos!U31,(Datos!K31+Datos!AA31-(Datos!U31+Datos!AI31))/(Datos!U31+Datos!AI31))
     ),IF(J_V="SI",(Datos!K31-Datos!U31)/Datos!U31,(Datos!K31+Datos!AA31-(Datos!U31+Datos!AI31))/(Datos!U31+Datos!AI31))," - ")</f>
        <v>-0.22481572481572482</v>
      </c>
      <c r="G31" s="410">
        <f>IF(ISNUMBER(
   IF(J_V="SI",(Datos!L31-Datos!V31)/Datos!V31,(Datos!L31+Datos!AB31-(Datos!V31+Datos!AJ31))/(Datos!V31+Datos!AJ31))
     ),IF(J_V="SI",(Datos!L31-Datos!V31)/Datos!V31,(Datos!L31+Datos!AB31-(Datos!V31+Datos!AJ31))/(Datos!V31+Datos!AJ31))," - ")</f>
        <v>0.70914127423822715</v>
      </c>
      <c r="H31" s="411">
        <f>IF(ISNUMBER((Datos!M31-Datos!W31)/Datos!W31),(Datos!M31-Datos!W31)/Datos!W31," - ")</f>
        <v>0.11764705882352941</v>
      </c>
      <c r="I31" s="408">
        <f>IF(ISNUMBER((Tasas!C31-Datos!BE31)/Datos!BE31),(Tasas!C31-Datos!BE31)/Datos!BE31," - ")</f>
        <v>1.2048193299998682</v>
      </c>
      <c r="J31" s="409">
        <f>IF(ISNUMBER((Tasas!D31-Datos!BF31)/Datos!BF31),(Tasas!D31-Datos!BF31)/Datos!BF31," - ")</f>
        <v>-0.12463210323749147</v>
      </c>
      <c r="K31" s="410">
        <f>IF(ISNUMBER((Tasas!E31-Datos!BG31)/Datos!BG31),(Tasas!E31-Datos!BG31)/Datos!BG31," - ")</f>
        <v>0.42626228275611966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0.53662803687991179</v>
      </c>
      <c r="E33" s="303">
        <f t="shared" si="1"/>
        <v>0.2454813306748595</v>
      </c>
      <c r="F33" s="303">
        <f t="shared" si="1"/>
        <v>0.39803550212452654</v>
      </c>
      <c r="G33" s="304">
        <f t="shared" si="1"/>
        <v>0.84135344105269594</v>
      </c>
      <c r="H33" s="310">
        <f t="shared" si="1"/>
        <v>0.21683803165967594</v>
      </c>
      <c r="I33" s="302">
        <f t="shared" si="1"/>
        <v>1.215673738527189</v>
      </c>
      <c r="J33" s="303">
        <f t="shared" si="1"/>
        <v>0.1701427726390124</v>
      </c>
      <c r="K33" s="304">
        <f t="shared" si="1"/>
        <v>0.75629689735762062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bFU/W0pTaGlLnZkkQjrrzuR4gGUhv+wXH/dpTkvzlvk3xpItXT5nAB1LYRvD0DKo/p25XS8poFZkPj8WzKVKw==" saltValue="Q19XoWcssWqCD8JZ+vY4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